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0"/>
  </bookViews>
  <sheets>
    <sheet name="งบทดลอง" sheetId="1" r:id="rId1"/>
    <sheet name="งบเงินรับ-จ่าย" sheetId="2" r:id="rId2"/>
    <sheet name="รายละเอียดรายได้" sheetId="3" r:id="rId3"/>
    <sheet name="รายงานกระแสเงินสด" sheetId="4" r:id="rId4"/>
    <sheet name="กระทบยอดเงินฝาก" sheetId="5" r:id="rId5"/>
    <sheet name="จ่ายจากรายรับ" sheetId="6" r:id="rId6"/>
    <sheet name="งบประมาณคงเหลือ" sheetId="7" r:id="rId7"/>
    <sheet name="Sheet2" sheetId="8" r:id="rId8"/>
  </sheets>
  <definedNames>
    <definedName name="_xlnm.Print_Area" localSheetId="7">'Sheet2'!$A$1:$L$19</definedName>
    <definedName name="_xlnm.Print_Area" localSheetId="0">'งบทดลอง'!$A$1:$D$109</definedName>
  </definedNames>
  <calcPr fullCalcOnLoad="1"/>
</workbook>
</file>

<file path=xl/sharedStrings.xml><?xml version="1.0" encoding="utf-8"?>
<sst xmlns="http://schemas.openxmlformats.org/spreadsheetml/2006/main" count="2198" uniqueCount="483">
  <si>
    <t>เงินเดือน</t>
  </si>
  <si>
    <t>(ฝ่ายการเมือง)</t>
  </si>
  <si>
    <t>เงินเดือนนายก / รองนายก</t>
  </si>
  <si>
    <t>เงินค่าตอบแทนประจำตำแหน่งนายก / รองนายก</t>
  </si>
  <si>
    <t>เงินค่าตอบแทนพิเศษนายก / รองนายก</t>
  </si>
  <si>
    <t>เงินค่าตอบแทนสมาชิกสภา  อปท.</t>
  </si>
  <si>
    <t>เงินค่าตอบแทนอื่น</t>
  </si>
  <si>
    <t>แผนงานการรักษา</t>
  </si>
  <si>
    <t>ความสงบภายใน</t>
  </si>
  <si>
    <t>แผนงานสังคม</t>
  </si>
  <si>
    <t>สงเคราะห์</t>
  </si>
  <si>
    <t>งานไฟฟ้าถนน</t>
  </si>
  <si>
    <t>งานกีฬาและ</t>
  </si>
  <si>
    <t>นันทนาการ</t>
  </si>
  <si>
    <t>ค่าตอบแทนผู้ปฏิบัตราชการอันเป็นประโยชน์แก่  อปท.</t>
  </si>
  <si>
    <t>รายจ่ายที่ไม่เข้าลักษณะรายจ่ายหมวดอื่น</t>
  </si>
  <si>
    <t>รายจ่ายเกี่ยวกับการรับรองและพิธีการ</t>
  </si>
  <si>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</si>
  <si>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</si>
  <si>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</si>
  <si>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</si>
  <si>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</si>
  <si>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</si>
  <si>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</si>
  <si>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</si>
  <si>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</si>
  <si>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</si>
  <si>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</si>
  <si>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เงินทุนสำรองเงินสะสม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</si>
  <si>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</si>
  <si>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</si>
  <si>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</si>
  <si>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</si>
  <si>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</si>
  <si>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</si>
  <si>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</si>
  <si>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</si>
  <si>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เงินค่าใช้จ่าย 5%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</si>
  <si>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</si>
  <si>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</si>
  <si>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</si>
  <si>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</si>
  <si>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</si>
  <si>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</si>
  <si>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</si>
  <si>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</si>
  <si>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</si>
  <si>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</si>
  <si>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</si>
  <si>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</si>
  <si>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</si>
  <si>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</si>
  <si>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</si>
  <si>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</si>
  <si>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</si>
  <si>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</si>
  <si>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</si>
  <si>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</si>
  <si>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</si>
  <si>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</si>
  <si>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</si>
  <si>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</si>
  <si>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</si>
  <si>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</si>
  <si>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</si>
  <si>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</si>
  <si>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</si>
  <si>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</si>
  <si>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</si>
  <si>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</si>
  <si>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หมวดเงินอุดหนุน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</si>
  <si>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</si>
  <si>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</si>
  <si>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</si>
  <si>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</si>
  <si>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</si>
  <si>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</si>
  <si>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</si>
  <si>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</si>
  <si>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ค่าภาษี หัก ณ ที่จ่าย</t>
  </si>
  <si>
    <t xml:space="preserve">                               –  ทราบ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</si>
  <si>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</si>
  <si>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</si>
  <si>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</si>
  <si>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</si>
  <si>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</si>
  <si>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จ่ายเงินตามงบประมาณ</t>
  </si>
  <si>
    <t xml:space="preserve">           จ่ายเงินรับฝาก</t>
  </si>
  <si>
    <t xml:space="preserve">           จ่ายเงินลูกหนี้เงินยืมเงินงบประมาณ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</si>
  <si>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</si>
  <si>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</si>
  <si>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</si>
  <si>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</si>
  <si>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</si>
  <si>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</si>
  <si>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</si>
  <si>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</si>
  <si>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</si>
  <si>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</si>
  <si>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</si>
  <si>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</si>
  <si>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</si>
  <si>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</si>
  <si>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เงินฝากธนาคาร กรุงไทย จำกัด (มหาชน) เลขที่ 344-0-48430-0</t>
  </si>
  <si>
    <t>เงินฝาก ธกส.สาขาโชคชัย (ประจำ) เลขที่ 30-721-4-12488-3</t>
  </si>
  <si>
    <t>110201</t>
  </si>
  <si>
    <t>110202</t>
  </si>
  <si>
    <t>ลูกหนี้อื่น ๆ</t>
  </si>
  <si>
    <t>511000</t>
  </si>
  <si>
    <t>522000</t>
  </si>
  <si>
    <t>531000</t>
  </si>
  <si>
    <t>532000</t>
  </si>
  <si>
    <t>533000</t>
  </si>
  <si>
    <t>534000</t>
  </si>
  <si>
    <t>541000</t>
  </si>
  <si>
    <t>110604</t>
  </si>
  <si>
    <t>110605</t>
  </si>
  <si>
    <t>300000</t>
  </si>
  <si>
    <t>320000</t>
  </si>
  <si>
    <t>400000</t>
  </si>
  <si>
    <t>เงินรับฝากอื่น ๆ (หมายเหตุ 2)</t>
  </si>
  <si>
    <t>บัญชีเงินรับฝากอื่น ๆ</t>
  </si>
  <si>
    <t>เงินทุนโครงการเศรษฐกิจชุมชน</t>
  </si>
  <si>
    <t>เงินเดือนฝ่ายการเมือง</t>
  </si>
  <si>
    <t>เงินเดือนนายก</t>
  </si>
  <si>
    <t>เงินค่าตอบแทนประจำตำแหน่งนายก</t>
  </si>
  <si>
    <t>เงินค่าตอบแทนพิเศษนายก</t>
  </si>
  <si>
    <t>เงินค่าตอบแทนสมาชิกสภา อบต.</t>
  </si>
  <si>
    <t>บัญชีรายรับ</t>
  </si>
  <si>
    <t>ภาษีบำรุงท้องที่</t>
  </si>
  <si>
    <t>ค่าธรรมเนียมเกี่ยวกับการควบคุมอาคาร</t>
  </si>
  <si>
    <t>ค่าธรรมเนียมปิดแผ่นป้ายประกาศ</t>
  </si>
  <si>
    <t>ค่าธรรมเนียมจดทะเบียนพาณิชย์</t>
  </si>
  <si>
    <t>ค่าใบอนุญาตจำหน่วยสินค้าในที่หรือทางสาธารณะ</t>
  </si>
  <si>
    <t>ค่าใบอนุญาตเกี่ยวกับการควบคุมอาคาร</t>
  </si>
  <si>
    <t>ดอกเบี้ย</t>
  </si>
  <si>
    <t>ค่ารับรองสำเนาและถ่ายเอกสาร</t>
  </si>
  <si>
    <t>รายได้เบ็ดเตล็ดอื่น ๆ</t>
  </si>
  <si>
    <t>ภาษีมูลค่าเพิ่ม 1 ใน 9</t>
  </si>
  <si>
    <t>ภาษีสุรา</t>
  </si>
  <si>
    <t>ภาษีสรรพสามิต</t>
  </si>
  <si>
    <t>210403</t>
  </si>
  <si>
    <t>230199</t>
  </si>
  <si>
    <t>ปีงบประมาณ  2556</t>
  </si>
  <si>
    <t>หมวดรายได้จากทุน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</si>
  <si>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</si>
  <si>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</si>
  <si>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</si>
  <si>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</si>
  <si>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</si>
  <si>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</si>
  <si>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421000</t>
  </si>
  <si>
    <t>431000</t>
  </si>
  <si>
    <t>2. ค่าธรรมเนียมปิดแผ่นป้ายประกาศ</t>
  </si>
  <si>
    <t>3. ค่าธรรมเนียมจดทะเบียนพาณิชย์</t>
  </si>
  <si>
    <t>4. ค่าธรรมเนียมอื่น ๆ</t>
  </si>
  <si>
    <t>5. ค่าปรับผู้กระทำผิดกฎหมายจราจรทางบก</t>
  </si>
  <si>
    <t>6. ค่าปรับผู้กระทำผิดกฎหมายและข้อบังคับท้องถิ่น</t>
  </si>
  <si>
    <t>7. ค่าปรับการผิดสัญญา</t>
  </si>
  <si>
    <t>8. ค่าใบอนุญาตรับทำการเก็บ ขน สิ่งปฏิกูล และขยะมูลฝอย</t>
  </si>
  <si>
    <t>9. ค่าใบอนุญาตประกอบการค้าสำหรับกิจการที่เป็นอันตรายต่อสุขภาพ</t>
  </si>
  <si>
    <t>10. ค่าใบอนุญาตจำหน่ายสินค้าในที่หรือทางสาธารณะ</t>
  </si>
  <si>
    <t>11. ค่าใบอนุญาตเกี่ยวกับการควบคุมอาคาร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</si>
  <si>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</si>
  <si>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</si>
  <si>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</si>
  <si>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</si>
  <si>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1.  ภาษีมูลค่าเพิ่มตาม พรบ. กำหนดแผนฯ</t>
  </si>
  <si>
    <t>2. ภาษีมูลค่าเพิ่ม 1 ใน 9</t>
  </si>
  <si>
    <t>6.  ค่าภาคหลวงแร่</t>
  </si>
  <si>
    <t>7.  ค่าภาคหลวงปิโตรเลียม</t>
  </si>
  <si>
    <t>8.  ค่าธรรมเนียมจดทะเบียนสิทธิและนิติกรรมที่ดินตามประมวล</t>
  </si>
  <si>
    <t xml:space="preserve">     กฎหมายที่ดิน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</si>
  <si>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</si>
  <si>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</si>
  <si>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</si>
  <si>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รายได้ที่รัฐบาลอุดหนุนให้โดยระบุวัตถุประสงค์</t>
  </si>
  <si>
    <t>1. เบี้ยยังชีพคนชรา</t>
  </si>
  <si>
    <t>2. เบี้ยยังชีพคนพิการ</t>
  </si>
  <si>
    <t>3. อุดหนุนศูนย์พัฒนาเด็กเล็ก อบต.</t>
  </si>
  <si>
    <t>4. อุดหนุนสำหรับพื้นฟูผู้ติดยาเสพติด</t>
  </si>
  <si>
    <t>หมวดเงินอุดหนุนระบุวัตถุประสงค์</t>
  </si>
  <si>
    <t>521000</t>
  </si>
  <si>
    <t>รายจ่ายอื่น</t>
  </si>
  <si>
    <t>542000</t>
  </si>
  <si>
    <t>551000</t>
  </si>
  <si>
    <t>561000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</si>
  <si>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</si>
  <si>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</si>
  <si>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</si>
  <si>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บัญชีฏีกาค้างจ่าย</t>
  </si>
  <si>
    <t>เงินรับฝากอื่น ๆ (หมายเหตุ 1)</t>
  </si>
  <si>
    <t>รายรับ  (หมายเหตุ 3)</t>
  </si>
  <si>
    <t>ฏีกาค้างจ่าย  (หมายเหตุ 2)</t>
  </si>
  <si>
    <t>เงินรับฝาก(หมายเหตุ 3)</t>
  </si>
  <si>
    <t>230122</t>
  </si>
  <si>
    <t>230102</t>
  </si>
  <si>
    <t>เงินรับฝากอื่น ๆ (หมายเหตุ 4)</t>
  </si>
  <si>
    <t>เงินรับฝาก (หมายเหตุ 5)</t>
  </si>
  <si>
    <t>210401</t>
  </si>
  <si>
    <t>รายจ่ายค้างจ่ายระหว่างดำเนินการ (หมายเหตุ 6)</t>
  </si>
  <si>
    <t>บัญชีเงินรายจ่ายค้างจ่ายระหว่างดำเนินการ</t>
  </si>
  <si>
    <t>ค่าวัสดุงานบ้านงานครัว-อาหารกลางวันศูนย์เด็ก ประจำเดือน ก.ย. - ต.ค. 55</t>
  </si>
  <si>
    <t>ค่าวัสดุงานบ้านงานครัว-นมศูนย์พัฒนาเด็กเล็ก ประจำเดือน ก.ย. 55</t>
  </si>
  <si>
    <t>ค่าวัสดุงานบ้านงานครัว-นมศูนย์พัฒนาเด็กเล็ก ประจำเดือน ต.ค. 55</t>
  </si>
  <si>
    <t>ค่าวัสดุงานบ้านงานครัว-นมโรงเรียน ประจำเดือน ก.ย. 55</t>
  </si>
  <si>
    <t>ค่าวัสดุงานบ้านงานครัว-นมโรงเรียน ประจำเดือน ต.ค. 55</t>
  </si>
  <si>
    <t>ฏีกาค้างจ่าย (หมายเหตุ 7)</t>
  </si>
  <si>
    <t>ค่าตอบแทนคณะกรรมการการเลือกตั้ง</t>
  </si>
  <si>
    <t>ค่าตอบแทนนายทะเบียนอำเภอในการเลือกตั้ง</t>
  </si>
  <si>
    <t>ค่าเบี้ยเลี้ยงคณะกรรมการการเลือกตั้ง</t>
  </si>
  <si>
    <t>ค่าปฏิบัติงานนอกเวลาราชการของพนักงานและพนักงานจ้าง</t>
  </si>
  <si>
    <t>ค่าปฏิบัติงานนอกเวลาราชการของฝ่ายทะเบียนอำเภอ</t>
  </si>
  <si>
    <t>ค่าตอบแทนผู้ปฏิบัติราชการอันเป็นประโยชน์แก่ อปท. (เงินโบนัส)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</si>
  <si>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</si>
  <si>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</si>
  <si>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ค่าวัสดุเชื้อเพลิงและหล่อลื่น</t>
  </si>
  <si>
    <t>รายจ่ายผัดส่งใบสำคัญ</t>
  </si>
  <si>
    <t>210200</t>
  </si>
  <si>
    <t>เบี้ยยังชีพคนชรา</t>
  </si>
  <si>
    <t>เบี้ยยังชีพคนพิการ</t>
  </si>
  <si>
    <t xml:space="preserve">           รับเงินรายรับ(ตามข้อบัญญัติ)</t>
  </si>
  <si>
    <t xml:space="preserve">           รับคืนเงินสะสม</t>
  </si>
  <si>
    <t xml:space="preserve">           รับเงินจากลูกหนี้อื่น ๆ</t>
  </si>
  <si>
    <t xml:space="preserve">           รับเงินจากลูกหนี้เงินยืมเงินงบประมาณ</t>
  </si>
  <si>
    <t xml:space="preserve">           จ่ายรายจ่ายผัดส่งใบสำคัญ</t>
  </si>
  <si>
    <t xml:space="preserve">           จ่ายรายจ่ายค้างจ่ายระหว่างดำเนินการ</t>
  </si>
  <si>
    <t xml:space="preserve">           จ่ายฏีกาค้างจ่าย</t>
  </si>
  <si>
    <t xml:space="preserve">           จ่ายลูกหนี้อื่น ๆ</t>
  </si>
  <si>
    <t>นักวิชาการเงินและบัญชี</t>
  </si>
  <si>
    <t xml:space="preserve">              ผู้อำนวยการกองคลัง</t>
  </si>
  <si>
    <t>เลขที่บัญชี 01- 721-2-49173-3</t>
  </si>
  <si>
    <t xml:space="preserve">     (  นางพัฒนา     เหมือนจิตต์ )                                                                                                          ( นายสนธยา         ภักดีกิจ )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</si>
  <si>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</si>
  <si>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</si>
  <si>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กระดาษทำการกระทบยอดรายจ่ายตามงบประมาณ  (จ่ายจากรายรับ)</t>
  </si>
  <si>
    <t>เบี้ยยังชีพผู้ป่วยโรคเอดส์</t>
  </si>
  <si>
    <t>เงินงบประมาณ</t>
  </si>
  <si>
    <t>แผนงานบริหารงานทั่วไป</t>
  </si>
  <si>
    <t>งานบริหารงานทั่วไป</t>
  </si>
  <si>
    <t>แผนงานการศึกษา</t>
  </si>
  <si>
    <t>เกี่ยวกับการศึกษา</t>
  </si>
  <si>
    <t>แผนงานสาธารณสุข</t>
  </si>
  <si>
    <t>เกี่ยวกับสาธารณสุข</t>
  </si>
  <si>
    <t>เกี่ยวกับคหะและชุมชน</t>
  </si>
  <si>
    <t>หมวด,ประเภทรายจ่าย</t>
  </si>
  <si>
    <t>แผนงาน,งาน</t>
  </si>
  <si>
    <t>เงินเดือนพนักงาน</t>
  </si>
  <si>
    <t>เงินเพิ่มต่างๆของพนักงาน</t>
  </si>
  <si>
    <t>เงินประจำตำแหน่ง</t>
  </si>
  <si>
    <t>ค่าจ้างลูกจ้างประจำ</t>
  </si>
  <si>
    <t>เงินเพิ่มต่างๆของลูกจ้างประจำ</t>
  </si>
  <si>
    <t>ค่าจ้างพนักงานจ้าง</t>
  </si>
  <si>
    <t>เงินเพิ่มต่างๆของพนักงานจ้าง</t>
  </si>
  <si>
    <t>ค่าเช่าบ้าน</t>
  </si>
  <si>
    <t>ชุมชน</t>
  </si>
  <si>
    <t>แผนงานเคหะและ</t>
  </si>
  <si>
    <t>ทั่วไป</t>
  </si>
  <si>
    <t>งานบริหารงาน</t>
  </si>
  <si>
    <t>งานคลัง</t>
  </si>
  <si>
    <t>งานบริหาร</t>
  </si>
  <si>
    <t>แผนงานการศาสนาวัฒน</t>
  </si>
  <si>
    <t>ธรรมและนันทนาการ</t>
  </si>
  <si>
    <t>แผนงานงบกลาง</t>
  </si>
  <si>
    <t>งานศาสนาวัฒนธรรม</t>
  </si>
  <si>
    <t>ท้องถิ่น</t>
  </si>
  <si>
    <t>รวมหมวด</t>
  </si>
  <si>
    <t xml:space="preserve"> เงินช่วยเหลือค่ารักษาพยาบาล</t>
  </si>
  <si>
    <t>รายจ่ายเพื่อให้ได้มาซึ่งบริการ</t>
  </si>
  <si>
    <t>ค่าบำรุงรักษาและซ่อมแซม</t>
  </si>
  <si>
    <t>วัสดุสำนักงาน</t>
  </si>
  <si>
    <t>ค่าไฟฟ้า</t>
  </si>
  <si>
    <t>ค่าน้ำประปา</t>
  </si>
  <si>
    <t>ค่าโทรศัพท์</t>
  </si>
  <si>
    <t>ค่าบริการทางด้านโทรคมนาคม</t>
  </si>
  <si>
    <t>ค่าบำรุงรักษาและปรับปรุงครุภัณฑ์</t>
  </si>
  <si>
    <t>0.00</t>
  </si>
  <si>
    <t>งบกลาง-เบี้ยยังชีพคนชรา</t>
  </si>
  <si>
    <t>งบกลาง-เบี้ยยังชีพคนพิการ</t>
  </si>
  <si>
    <t xml:space="preserve">            ผู้อำนวยการกองคลัง                                                                                                             ปลัดองค์การบริหารส่วนตำบล</t>
  </si>
  <si>
    <t xml:space="preserve"> (ฝ่ายประจำ)</t>
  </si>
  <si>
    <t xml:space="preserve">เงินเดือน </t>
  </si>
  <si>
    <t>เงินอุดหนุนวัตถุประสงค์</t>
  </si>
  <si>
    <t>แผนงาน</t>
  </si>
  <si>
    <t>กระดาษทำการกระทบยอดรายจ่ายตามงบประมาณคงเหลือ</t>
  </si>
  <si>
    <t>เงินสบทบกองทุนประกันสังคม</t>
  </si>
  <si>
    <t>สำรองจ่าย</t>
  </si>
  <si>
    <t>รายจ่ายตามข้อผูกพัน</t>
  </si>
  <si>
    <t>รวมเงินงบประมาณคงเหลือ</t>
  </si>
  <si>
    <t>รวมเงินอุดหนุนระบุวัตถุประสงค์คงเหลือ</t>
  </si>
  <si>
    <t>รวมยอดคงเหลือแต่ละงาน</t>
  </si>
  <si>
    <t>วัสดุไฟฟ้าและวิทยุ</t>
  </si>
  <si>
    <t>วัสดุงานบ้านงานครัว</t>
  </si>
  <si>
    <t>ค่าอาหารเสริม(นม)</t>
  </si>
  <si>
    <t>ค่าอาอาหารกลางวันเด็กนักเรียน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</si>
  <si>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</si>
  <si>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</si>
  <si>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</si>
  <si>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</si>
  <si>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 xml:space="preserve">วัสดุกีฬา </t>
  </si>
  <si>
    <t>วัสดุคอมพิวเตอร์</t>
  </si>
  <si>
    <t>วัสดุการศึกษา</t>
  </si>
  <si>
    <t>ค่าไปรษณีย์</t>
  </si>
  <si>
    <t>ครุภัณฑ์สำนักงาน</t>
  </si>
  <si>
    <t>ครุภัณฑ์ส่วนการศึกษา</t>
  </si>
  <si>
    <t>ครุภัณฑ์ก่อสร้าง</t>
  </si>
  <si>
    <t>ครุภัณฑ์โฆษาและเผยแพร่</t>
  </si>
  <si>
    <t>ครุภัณฑ์งานบ้านงานครัว</t>
  </si>
  <si>
    <t>ครุภัณฑ์คอมพิวเตอร์</t>
  </si>
  <si>
    <t>ครุภัณฑือื่น</t>
  </si>
  <si>
    <t>ค่าที่ดินและสิ่งก่อ</t>
  </si>
  <si>
    <t>สร้าง</t>
  </si>
  <si>
    <t>ค่าถมดิน</t>
  </si>
  <si>
    <t xml:space="preserve">อาคารต่าง ๆ </t>
  </si>
  <si>
    <t>ค่าก่อสร้างสิ่งสาธารณูปการ</t>
  </si>
  <si>
    <t>ค่าก่อสร้างสิ่งสาธารณูปโภค</t>
  </si>
  <si>
    <t>รวมเงินงบประมาณคงเหลือทั้งสิ้น</t>
  </si>
  <si>
    <t>รวมเงินอุดหนุนระบุวัตถุประสงค์คงเหลือทั้งสิ้น</t>
  </si>
  <si>
    <t>ณ  วันที่   30  พฤศจิกายน    2555</t>
  </si>
  <si>
    <t>เงินสด</t>
  </si>
  <si>
    <t>110100</t>
  </si>
  <si>
    <t>หมายเหตุ 2  ประกอบงบทดลอง  ณ  วันที่    30  พฤศจิกายน  2555</t>
  </si>
  <si>
    <t>ภาษีโรงเรียนและที่ดิน</t>
  </si>
  <si>
    <t>ค่าใบอนุญาตประกอบกิจการที่เป็นอันตรายต่อสุขภาพ</t>
  </si>
  <si>
    <t>ภาษีมูลค่าเพิ่ม ตาม พรบ.</t>
  </si>
  <si>
    <t>ภาษีธุรกิจเฉพาะ</t>
  </si>
  <si>
    <t>ค่าภาคหลวงปิโตรเลี่ยม</t>
  </si>
  <si>
    <t>ค่าธรรมเนียมจดทะเบียนสิทธิและนิติกรรมที่ดิน</t>
  </si>
  <si>
    <t>เงินอุดหนุนทั่วไป-ค่าครองชีพชั่วคราว</t>
  </si>
  <si>
    <t>เงินอุดหนุนทั่วไป-สำหรับศูนย์สาธารณสุขมูลฐานตำบล (ศสมช.)</t>
  </si>
  <si>
    <t>หมายเหตุ 1  ประกอบงบทดลอง  ณ  วันที่    30  พฤศจิกายน  2555</t>
  </si>
  <si>
    <t>หมายเหตุ 3  ประกอบงบทดลอง  ณ  วันที่    30  พฤศจิกายน  2555</t>
  </si>
  <si>
    <t>เงินอุดหนุนทั่วไป-เบี้ยยังชีพผู้ป่วยเอดส์</t>
  </si>
  <si>
    <t>เงินอุดหนุนทั่วไป-อาหารเสริมนมโรงเรียน</t>
  </si>
  <si>
    <t>เงินอุดหนุนทั่วไป-อาหารกลางวันโรงเรียน</t>
  </si>
  <si>
    <t>เงินอุดหนุนทั่วไป-เพื่อส่งเสริมศักยภาพการจัดการศึกษาท้องถิ่น</t>
  </si>
  <si>
    <t>เงินอุดหนุนระบุวัตถุประสงค์</t>
  </si>
  <si>
    <t>หมายเหตุ 4  ประกอบงบทดลอง  ณ  วันที่    30  พฤศจิกายน  2555</t>
  </si>
  <si>
    <t>บัญชีเงินเงินอุดหนุนระบุวัตถุประสงค์</t>
  </si>
  <si>
    <t>440000</t>
  </si>
  <si>
    <t xml:space="preserve">  30  พฤศจิกายน   2555</t>
  </si>
  <si>
    <t>( นายนำ  ปลอดกระโทก )</t>
  </si>
  <si>
    <t>เงินสนับสนุนศูนย์พัฒนาเด็กเล็ก อบต.</t>
  </si>
  <si>
    <t>1.1  เงินค่าครองชีพชั่วคราว</t>
  </si>
  <si>
    <t>1.2  สำหรับสนับสนุนศูนย์สาธารณสุขมูลฐาน (ศสมช.)</t>
  </si>
  <si>
    <t>1.3  เบี้ยยังชีพผู้ป่วยเอดส์</t>
  </si>
  <si>
    <t>1.6  สำหรับสนับสนุนการเพิ่มศักยภาพการจัดการศึกษาท้องถิ่น</t>
  </si>
  <si>
    <t>1.5  สำหรับสนับสนุนอาหารกลางวันโรงเรียน</t>
  </si>
  <si>
    <t>1.4  สำหรับสนับสนุนอาหารเสริมนมโรงเรียน</t>
  </si>
  <si>
    <t>หมายเหตุ 1 ประกอบรายงานรับ- จ่ายเงินสด ณ วันที่ 30  พฤศจิกายน 2555</t>
  </si>
  <si>
    <t>ประจำเดือน   พฤศจิกายน   2555</t>
  </si>
  <si>
    <t>เงินค่าตอบแทนสมาชิก</t>
  </si>
  <si>
    <t>หมายเหตุ 7  ประกอบรายงาน รับ - จ่าย เงินสด  ณ  วันที่  30  พฤศจิกายน    2555</t>
  </si>
  <si>
    <t>หมายเหตุ 5  ประกอบรายงาน รับ - จ่าย เงินสด  ณ  วันที่  30  พฤศจิกายน    2555</t>
  </si>
  <si>
    <t>หมายเหตุ 4  ประกอบรายงาน รับ - จ่าย เงินสด  ณ  วันที่  30  พฤศจิกายน    2555</t>
  </si>
  <si>
    <t>หมายเหตุ 3  ประกอบรายงาน รับ - จ่าย เงินสด  ณ  วันที่  30  พฤศจิกายน    2555</t>
  </si>
  <si>
    <t>หมายเหตุ 2  ประกอบรายงาน รับ - จ่าย เงินสด  ณ  วันที่  30  พฤศจิกายน    2555</t>
  </si>
  <si>
    <t>ค่าตอบแทนนายอำเภอในการเลือกตั้ง</t>
  </si>
  <si>
    <t>วันที่  1 พฤศจิกายน  2555  ถึง   30  พฤศจิกายน  2555</t>
  </si>
  <si>
    <t>ประจำเดือน  พฤศจิกายน  ปีงบประมาณ  2556</t>
  </si>
  <si>
    <t>เงินเดือนนายก/รองนายก</t>
  </si>
  <si>
    <t>เงินค่าตอบแทนประจำตำแหน่ง</t>
  </si>
  <si>
    <t>เงินค่าตอบแทนพิเศษ</t>
  </si>
  <si>
    <t>เงินค่าตอบแทนเลขานุการนายก</t>
  </si>
  <si>
    <t>เงืนสมทบกองทุนประกันสังคม</t>
  </si>
  <si>
    <t>รายจ่ายกี่ยวกับการรับรอง/พิธิการ</t>
  </si>
  <si>
    <t xml:space="preserve"> เงินช่วยเหลือการศึกษาบุตร</t>
  </si>
  <si>
    <t>ค่าวัสดุงานบ้านงานครัว</t>
  </si>
  <si>
    <t>ค่าวัสดุคอมพิวเตอร์</t>
  </si>
  <si>
    <t>เงินสำรองจ่าย</t>
  </si>
  <si>
    <t>ค่าวัสดุยานพาหนะและขนส่ง</t>
  </si>
  <si>
    <t>ค่าวัสดุไฟฟ้าและวิทยุ</t>
  </si>
  <si>
    <t>ค่าวัสดุก่อสร้าง</t>
  </si>
  <si>
    <t>ค่าวัสดุวิทยาศาสตร์หรือการแพทย์</t>
  </si>
  <si>
    <t>ค่าอาหารเสริมนม</t>
  </si>
  <si>
    <t>ค่าอาหารกลางวัน</t>
  </si>
  <si>
    <t>ค่าวัสดุกีฬา</t>
  </si>
  <si>
    <t>ค่าวัสดุการศึกษา</t>
  </si>
  <si>
    <t>ค่าตอบแทนนอกเวลาราชการ</t>
  </si>
  <si>
    <t>งานระดับก่อนวัย</t>
  </si>
  <si>
    <t>เรียน/ประถมศึกษา</t>
  </si>
  <si>
    <t>ครุภัณฑ์านบ้านงานครัว</t>
  </si>
  <si>
    <t>ครุภัณฑ์โฆษณาและเผยแพร่</t>
  </si>
  <si>
    <t>ครุภัณฑ์การศึกษา</t>
  </si>
  <si>
    <t>ครุภัณฑ์อื่น ๆ</t>
  </si>
  <si>
    <t>อาคารต่าง ๆ</t>
  </si>
  <si>
    <t>เงืนอุดหนุน</t>
  </si>
  <si>
    <t>อุดหนุนส่วนราชการ</t>
  </si>
  <si>
    <t>กิจการอันเป็นสาธารณะประโยชน์</t>
  </si>
  <si>
    <t>รวมงานเดือนนี้</t>
  </si>
  <si>
    <t>รวมงานแต่ต้นปี</t>
  </si>
  <si>
    <t xml:space="preserve">บำเหน็จ/บำนาญ </t>
  </si>
  <si>
    <t>เงินสมทบ กบท.</t>
  </si>
  <si>
    <t>ค่าตอบแทนเป็นประโยชน์ต่อ อปท.</t>
  </si>
  <si>
    <t>รายจ่ายที่ไม่เข้า/หมวดอื่น</t>
  </si>
  <si>
    <t>สำรวจประเมินผลความพึงพอใจ</t>
  </si>
  <si>
    <t>รวมเดือนนี้ทุกงาน</t>
  </si>
  <si>
    <t>รวมแต่ต้นปีทุกงาน</t>
  </si>
  <si>
    <t>รวมเงินงบประมาณเดือนนี้</t>
  </si>
  <si>
    <t>รวมเงินอุดหนุนระบุวัตถุประสงค์เดือนนี้</t>
  </si>
  <si>
    <t>รวมเงินงบประมาณแต่ต้นปี</t>
  </si>
  <si>
    <t>รวมเงินอุดหนุนระบุวัตถุประสงค์แต่ต้นปี</t>
  </si>
  <si>
    <t>รวมแต่ต้นปี</t>
  </si>
  <si>
    <t>เงินอุดหนุน อปท.</t>
  </si>
  <si>
    <t>ค่าตอบแทนการปฏิบัติงานนอกเวลาราชการ</t>
  </si>
  <si>
    <t>เงินช่วยเหลือการศึกษาบุตร</t>
  </si>
  <si>
    <t>(ฝ่ายการ</t>
  </si>
  <si>
    <t>เมือง)</t>
  </si>
  <si>
    <t>เงินงบ</t>
  </si>
  <si>
    <t>ประมาณ</t>
  </si>
  <si>
    <t>ระบุวัตถุ</t>
  </si>
  <si>
    <t>ประสงค์</t>
  </si>
  <si>
    <t>งานบริหารทั่วไป</t>
  </si>
  <si>
    <t>งานบริการสา</t>
  </si>
  <si>
    <t>ธารณะสุขอื่น</t>
  </si>
  <si>
    <t>เงินค่าตอบแทนเลขานุการ / ที่ปรึกษา นายกอบต.เทศบาล</t>
  </si>
  <si>
    <t>งานวางแผนสถิ</t>
  </si>
  <si>
    <t>ติและวิชาการ</t>
  </si>
  <si>
    <t>สาธารณะสุข</t>
  </si>
  <si>
    <t>งานบริหารทั่ว</t>
  </si>
  <si>
    <t>ไปเกี่ยวกับสังคม</t>
  </si>
  <si>
    <t>ธารณะสุข/สา</t>
  </si>
  <si>
    <t>ไปเกี่ยวกับ</t>
  </si>
  <si>
    <t>เคหะ/ชุมชน</t>
  </si>
  <si>
    <t>แผนงานเคหะและชุมชน</t>
  </si>
  <si>
    <t>งานศาสนาวัฒน</t>
  </si>
  <si>
    <t>ธรรมท้องถิ่น</t>
  </si>
  <si>
    <t>แผนงานการศาสนา</t>
  </si>
  <si>
    <t>งานก่อสร้างโครง</t>
  </si>
  <si>
    <t>สร้างพื้นฐาน</t>
  </si>
  <si>
    <t>(ฝ่าย</t>
  </si>
  <si>
    <t>ประจำ)</t>
  </si>
  <si>
    <t>ค่าตอบ</t>
  </si>
  <si>
    <t>แทน</t>
  </si>
  <si>
    <t>ค่าตอบแทนอันเป็นประโยชน์แก่  อปท.</t>
  </si>
  <si>
    <t>ค่าสาธา</t>
  </si>
  <si>
    <t>รณูปโภค</t>
  </si>
  <si>
    <t>ค่าจ้างสำรวจความพึงพอใจ</t>
  </si>
  <si>
    <t>เงินอุด</t>
  </si>
  <si>
    <t>หนุน</t>
  </si>
  <si>
    <t>อุดหนุน อปท.อื่น</t>
  </si>
  <si>
    <t>อุดหนุนส่วนราชาการ</t>
  </si>
  <si>
    <t>อุดหนุนกิจการอันเป็นประโยชน์</t>
  </si>
  <si>
    <t>ค่าก่อสร้างสิ่งสาธารณูประโภค</t>
  </si>
  <si>
    <t>แผนงานสาธารณะ</t>
  </si>
  <si>
    <t>สุข</t>
  </si>
  <si>
    <t>งานป้องกันภัย</t>
  </si>
  <si>
    <t>ฝ่ายพลเรือน</t>
  </si>
  <si>
    <t>กับสาธารณะสุข</t>
  </si>
  <si>
    <t>เงินค่าตอบแทนเลขานุการ / นายกอบต.เทศบาล</t>
  </si>
  <si>
    <t>อุตสาหกรรม</t>
  </si>
  <si>
    <t>แผนงนสาธารณะ</t>
  </si>
  <si>
    <t>ค่า</t>
  </si>
  <si>
    <t>ครุภัณฑ์</t>
  </si>
  <si>
    <t>ค่าที่ดิน</t>
  </si>
  <si>
    <t>และสิ่ง</t>
  </si>
  <si>
    <t>ก่อสร้าง</t>
  </si>
  <si>
    <t>อื่น</t>
  </si>
  <si>
    <t>ไปเกี่ยวกับสัง</t>
  </si>
  <si>
    <t>คมสงเคราะห์</t>
  </si>
  <si>
    <t>รวมยอดเงินคง</t>
  </si>
  <si>
    <t>เหลือทั้งสิ้น</t>
  </si>
  <si>
    <t>เงินค่าตอบแทนเลขานุการ /  นายกอบต.เทศบาล</t>
  </si>
  <si>
    <t>หมายเหตุ 6  ประกอบรายงาน รับ - จ่าย เงินสด  ณ  วันที่  30  พฤศจิกายน    2555</t>
  </si>
  <si>
    <t>ยอดเงินคงเหลือตามรายงานธนาคาร ณ วันที่ 30 พฤศจิกายน 2555</t>
  </si>
  <si>
    <t>31 พ.ย. 55</t>
  </si>
  <si>
    <t>8 พ.ย. 55</t>
  </si>
  <si>
    <t>ยอดเงินคงเหลือตามบัญชี  ณ  วันที่  30  พฤศจิกายน  2555</t>
  </si>
  <si>
    <t>เงินสมทบกองทุนประกันสังคม</t>
  </si>
  <si>
    <t>เงินเพิ่มต่าง ๆของพนักงานจ้าง</t>
  </si>
  <si>
    <t>=SUM(D141:D142)</t>
  </si>
  <si>
    <t>เงินเพิ่มต่าง ๆ ของพนักงานจ้าง</t>
  </si>
  <si>
    <t xml:space="preserve"> (ลงชื่อ)......................................................วันที่  30  พฤศจิกายน  2555</t>
  </si>
  <si>
    <t>(ลงชื่อ)...................................วันที่ 30 พฤศจิกายน 2555</t>
  </si>
  <si>
    <t xml:space="preserve">                                                        </t>
  </si>
  <si>
    <t>711000</t>
  </si>
  <si>
    <t>รับคืน</t>
  </si>
  <si>
    <t>หมายเหตุ 8  ประกอบรายงาน รับ - จ่าย เงินสด  ณ  วันที่  30  พฤศจิกายน    2555</t>
  </si>
  <si>
    <t>441002</t>
  </si>
  <si>
    <t>เงินอุดหนุนระบุวัตถุประสงค์ (หมายเหตุ 8)</t>
  </si>
  <si>
    <t xml:space="preserve">          จ่ายเงินอุดหนุนระบุวัตถุประสงค์</t>
  </si>
  <si>
    <t xml:space="preserve">          รับเงินอุดหนุนระบุวัตถุประสงค์</t>
  </si>
  <si>
    <t xml:space="preserve">          รับคืน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</si>
</sst>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</numFmts>
  <fonts count="21">
    <font>
      <sz val="10"/>
      <name val="Arial"/>
      <family val="0"/>
    </font>
    <font>
      <sz val="8"/>
      <name val="Arial"/>
      <family val="0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10.5"/>
      <name val="Angsana New"/>
      <family val="1"/>
    </font>
    <font>
      <b/>
      <sz val="10.5"/>
      <name val="Angsana New"/>
      <family val="1"/>
    </font>
    <font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4" fontId="4" fillId="0" borderId="0" xfId="15" applyFont="1" applyAlignment="1">
      <alignment horizontal="center"/>
    </xf>
    <xf numFmtId="194" fontId="4" fillId="0" borderId="0" xfId="15" applyFont="1" applyAlignment="1">
      <alignment/>
    </xf>
    <xf numFmtId="194" fontId="3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/>
    </xf>
    <xf numFmtId="194" fontId="6" fillId="0" borderId="4" xfId="15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94" fontId="6" fillId="0" borderId="0" xfId="15" applyFont="1" applyBorder="1" applyAlignment="1">
      <alignment/>
    </xf>
    <xf numFmtId="194" fontId="6" fillId="0" borderId="0" xfId="15" applyNumberFormat="1" applyFont="1" applyBorder="1" applyAlignment="1">
      <alignment/>
    </xf>
    <xf numFmtId="194" fontId="5" fillId="0" borderId="0" xfId="15" applyFont="1" applyAlignment="1">
      <alignment/>
    </xf>
    <xf numFmtId="194" fontId="5" fillId="0" borderId="0" xfId="15" applyFont="1" applyAlignment="1">
      <alignment horizontal="center"/>
    </xf>
    <xf numFmtId="194" fontId="6" fillId="0" borderId="1" xfId="15" applyFont="1" applyBorder="1" applyAlignment="1">
      <alignment horizontal="center"/>
    </xf>
    <xf numFmtId="194" fontId="6" fillId="0" borderId="2" xfId="15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4" fontId="6" fillId="0" borderId="6" xfId="15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94" fontId="6" fillId="0" borderId="2" xfId="15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19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 horizontal="center"/>
    </xf>
    <xf numFmtId="194" fontId="6" fillId="0" borderId="1" xfId="0" applyNumberFormat="1" applyFont="1" applyBorder="1" applyAlignment="1">
      <alignment/>
    </xf>
    <xf numFmtId="194" fontId="6" fillId="0" borderId="1" xfId="15" applyFont="1" applyBorder="1" applyAlignment="1">
      <alignment/>
    </xf>
    <xf numFmtId="194" fontId="8" fillId="0" borderId="4" xfId="15" applyFont="1" applyBorder="1" applyAlignment="1">
      <alignment/>
    </xf>
    <xf numFmtId="19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194" fontId="6" fillId="0" borderId="2" xfId="0" applyNumberFormat="1" applyFont="1" applyBorder="1" applyAlignment="1">
      <alignment/>
    </xf>
    <xf numFmtId="0" fontId="7" fillId="0" borderId="8" xfId="0" applyFont="1" applyBorder="1" applyAlignment="1">
      <alignment/>
    </xf>
    <xf numFmtId="194" fontId="6" fillId="0" borderId="4" xfId="0" applyNumberFormat="1" applyFont="1" applyBorder="1" applyAlignment="1">
      <alignment horizontal="center"/>
    </xf>
    <xf numFmtId="194" fontId="6" fillId="0" borderId="1" xfId="0" applyNumberFormat="1" applyFont="1" applyBorder="1" applyAlignment="1">
      <alignment horizontal="center"/>
    </xf>
    <xf numFmtId="194" fontId="6" fillId="0" borderId="9" xfId="0" applyNumberFormat="1" applyFont="1" applyBorder="1" applyAlignment="1">
      <alignment/>
    </xf>
    <xf numFmtId="194" fontId="6" fillId="0" borderId="0" xfId="15" applyFont="1" applyAlignment="1">
      <alignment horizontal="center"/>
    </xf>
    <xf numFmtId="194" fontId="6" fillId="0" borderId="9" xfId="15" applyFont="1" applyBorder="1" applyAlignment="1">
      <alignment/>
    </xf>
    <xf numFmtId="0" fontId="6" fillId="0" borderId="0" xfId="0" applyFont="1" applyAlignment="1">
      <alignment horizontal="left" indent="3"/>
    </xf>
    <xf numFmtId="194" fontId="6" fillId="0" borderId="0" xfId="15" applyFont="1" applyAlignment="1">
      <alignment/>
    </xf>
    <xf numFmtId="207" fontId="5" fillId="0" borderId="0" xfId="15" applyNumberFormat="1" applyFont="1" applyAlignment="1">
      <alignment/>
    </xf>
    <xf numFmtId="194" fontId="6" fillId="0" borderId="0" xfId="15" applyFont="1" applyAlignment="1">
      <alignment horizontal="left"/>
    </xf>
    <xf numFmtId="194" fontId="5" fillId="0" borderId="0" xfId="15" applyFont="1" applyAlignment="1">
      <alignment/>
    </xf>
    <xf numFmtId="0" fontId="9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94" fontId="11" fillId="0" borderId="2" xfId="15" applyFont="1" applyBorder="1" applyAlignment="1">
      <alignment horizontal="right"/>
    </xf>
    <xf numFmtId="0" fontId="9" fillId="0" borderId="4" xfId="0" applyFont="1" applyBorder="1" applyAlignment="1">
      <alignment/>
    </xf>
    <xf numFmtId="0" fontId="11" fillId="0" borderId="4" xfId="0" applyFont="1" applyBorder="1" applyAlignment="1" quotePrefix="1">
      <alignment horizontal="center"/>
    </xf>
    <xf numFmtId="194" fontId="11" fillId="0" borderId="4" xfId="15" applyFont="1" applyBorder="1" applyAlignment="1">
      <alignment horizontal="right"/>
    </xf>
    <xf numFmtId="0" fontId="11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194" fontId="11" fillId="2" borderId="9" xfId="15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194" fontId="11" fillId="0" borderId="4" xfId="15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194" fontId="11" fillId="3" borderId="10" xfId="15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231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0" borderId="8" xfId="0" applyFont="1" applyBorder="1" applyAlignment="1">
      <alignment/>
    </xf>
    <xf numFmtId="43" fontId="12" fillId="0" borderId="8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43" fontId="12" fillId="0" borderId="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94" fontId="5" fillId="0" borderId="1" xfId="15" applyFont="1" applyBorder="1" applyAlignment="1">
      <alignment/>
    </xf>
    <xf numFmtId="0" fontId="9" fillId="0" borderId="4" xfId="0" applyFont="1" applyBorder="1" applyAlignment="1" quotePrefix="1">
      <alignment horizontal="center"/>
    </xf>
    <xf numFmtId="194" fontId="5" fillId="0" borderId="4" xfId="0" applyNumberFormat="1" applyFont="1" applyBorder="1" applyAlignment="1">
      <alignment/>
    </xf>
    <xf numFmtId="194" fontId="6" fillId="0" borderId="0" xfId="15" applyFont="1" applyAlignment="1">
      <alignment horizontal="right"/>
    </xf>
    <xf numFmtId="49" fontId="6" fillId="0" borderId="6" xfId="0" applyNumberFormat="1" applyFont="1" applyBorder="1" applyAlignment="1">
      <alignment horizontal="center"/>
    </xf>
    <xf numFmtId="194" fontId="6" fillId="0" borderId="6" xfId="15" applyFont="1" applyBorder="1" applyAlignment="1">
      <alignment/>
    </xf>
    <xf numFmtId="194" fontId="6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3" fontId="16" fillId="0" borderId="0" xfId="0" applyNumberFormat="1" applyFont="1" applyAlignment="1">
      <alignment horizontal="center"/>
    </xf>
    <xf numFmtId="43" fontId="16" fillId="0" borderId="0" xfId="0" applyNumberFormat="1" applyFont="1" applyAlignment="1">
      <alignment/>
    </xf>
    <xf numFmtId="194" fontId="6" fillId="0" borderId="4" xfId="15" applyFont="1" applyBorder="1" applyAlignment="1">
      <alignment horizontal="right"/>
    </xf>
    <xf numFmtId="0" fontId="18" fillId="0" borderId="0" xfId="0" applyFont="1" applyAlignment="1">
      <alignment/>
    </xf>
    <xf numFmtId="43" fontId="18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8" fillId="0" borderId="2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6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3" xfId="0" applyFont="1" applyBorder="1" applyAlignment="1">
      <alignment/>
    </xf>
    <xf numFmtId="0" fontId="14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" xfId="0" applyNumberFormat="1" applyFont="1" applyBorder="1" applyAlignment="1">
      <alignment horizontal="right"/>
    </xf>
    <xf numFmtId="43" fontId="18" fillId="0" borderId="1" xfId="0" applyNumberFormat="1" applyFont="1" applyBorder="1" applyAlignment="1">
      <alignment/>
    </xf>
    <xf numFmtId="43" fontId="18" fillId="0" borderId="1" xfId="0" applyNumberFormat="1" applyFont="1" applyBorder="1" applyAlignment="1">
      <alignment horizontal="right"/>
    </xf>
    <xf numFmtId="0" fontId="18" fillId="0" borderId="3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18" fillId="0" borderId="1" xfId="0" applyFont="1" applyBorder="1" applyAlignment="1">
      <alignment/>
    </xf>
    <xf numFmtId="49" fontId="18" fillId="0" borderId="2" xfId="0" applyNumberFormat="1" applyFont="1" applyBorder="1" applyAlignment="1">
      <alignment horizontal="right"/>
    </xf>
    <xf numFmtId="194" fontId="11" fillId="0" borderId="10" xfId="15" applyFont="1" applyBorder="1" applyAlignment="1">
      <alignment horizontal="right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5" xfId="0" applyFont="1" applyBorder="1" applyAlignment="1">
      <alignment horizontal="right"/>
    </xf>
    <xf numFmtId="4" fontId="18" fillId="0" borderId="6" xfId="0" applyNumberFormat="1" applyFont="1" applyBorder="1" applyAlignment="1">
      <alignment horizontal="center"/>
    </xf>
    <xf numFmtId="4" fontId="18" fillId="0" borderId="2" xfId="15" applyNumberFormat="1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6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center"/>
    </xf>
    <xf numFmtId="4" fontId="18" fillId="0" borderId="2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" fontId="14" fillId="0" borderId="4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" fontId="18" fillId="0" borderId="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8" fillId="0" borderId="16" xfId="0" applyFont="1" applyBorder="1" applyAlignment="1">
      <alignment/>
    </xf>
    <xf numFmtId="4" fontId="14" fillId="0" borderId="5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7" xfId="0" applyFont="1" applyBorder="1" applyAlignment="1">
      <alignment/>
    </xf>
    <xf numFmtId="4" fontId="18" fillId="0" borderId="2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/>
    </xf>
    <xf numFmtId="194" fontId="18" fillId="0" borderId="1" xfId="15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18" fillId="0" borderId="2" xfId="0" applyFont="1" applyBorder="1" applyAlignment="1">
      <alignment/>
    </xf>
    <xf numFmtId="4" fontId="18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49" fontId="12" fillId="0" borderId="8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4" borderId="16" xfId="0" applyFont="1" applyFill="1" applyBorder="1" applyAlignment="1">
      <alignment/>
    </xf>
    <xf numFmtId="0" fontId="19" fillId="4" borderId="8" xfId="0" applyFont="1" applyFill="1" applyBorder="1" applyAlignment="1">
      <alignment/>
    </xf>
    <xf numFmtId="0" fontId="19" fillId="4" borderId="5" xfId="0" applyFont="1" applyFill="1" applyBorder="1" applyAlignment="1">
      <alignment horizontal="center"/>
    </xf>
    <xf numFmtId="4" fontId="19" fillId="4" borderId="2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4" borderId="3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19" fillId="4" borderId="12" xfId="0" applyFont="1" applyFill="1" applyBorder="1" applyAlignment="1">
      <alignment horizontal="center"/>
    </xf>
    <xf numFmtId="4" fontId="19" fillId="4" borderId="6" xfId="0" applyNumberFormat="1" applyFont="1" applyFill="1" applyBorder="1" applyAlignment="1">
      <alignment horizontal="center"/>
    </xf>
    <xf numFmtId="4" fontId="19" fillId="4" borderId="4" xfId="0" applyNumberFormat="1" applyFont="1" applyFill="1" applyBorder="1" applyAlignment="1">
      <alignment horizontal="center"/>
    </xf>
    <xf numFmtId="0" fontId="19" fillId="4" borderId="17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9" fillId="4" borderId="7" xfId="0" applyFont="1" applyFill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0" fontId="20" fillId="0" borderId="4" xfId="0" applyFont="1" applyBorder="1" applyAlignment="1">
      <alignment/>
    </xf>
    <xf numFmtId="4" fontId="20" fillId="0" borderId="1" xfId="15" applyNumberFormat="1" applyFont="1" applyBorder="1" applyAlignment="1">
      <alignment horizontal="right"/>
    </xf>
    <xf numFmtId="0" fontId="20" fillId="0" borderId="6" xfId="0" applyFont="1" applyBorder="1" applyAlignment="1">
      <alignment/>
    </xf>
    <xf numFmtId="4" fontId="19" fillId="0" borderId="1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/>
    </xf>
    <xf numFmtId="4" fontId="20" fillId="0" borderId="6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194" fontId="20" fillId="0" borderId="0" xfId="15" applyFont="1" applyAlignment="1">
      <alignment horizontal="center"/>
    </xf>
    <xf numFmtId="4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4" fontId="20" fillId="0" borderId="18" xfId="0" applyNumberFormat="1" applyFont="1" applyBorder="1" applyAlignment="1">
      <alignment horizontal="right"/>
    </xf>
    <xf numFmtId="4" fontId="20" fillId="0" borderId="13" xfId="15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 vertical="center"/>
    </xf>
    <xf numFmtId="4" fontId="14" fillId="0" borderId="7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3" xfId="0" applyFont="1" applyBorder="1" applyAlignment="1">
      <alignment/>
    </xf>
    <xf numFmtId="43" fontId="17" fillId="0" borderId="0" xfId="0" applyNumberFormat="1" applyFont="1" applyAlignment="1">
      <alignment/>
    </xf>
    <xf numFmtId="0" fontId="14" fillId="0" borderId="8" xfId="0" applyFont="1" applyBorder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14" fillId="0" borderId="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6" xfId="0" applyNumberFormat="1" applyFont="1" applyBorder="1" applyAlignment="1">
      <alignment/>
    </xf>
    <xf numFmtId="4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/>
    </xf>
    <xf numFmtId="4" fontId="14" fillId="0" borderId="15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194" fontId="5" fillId="0" borderId="0" xfId="15" applyFont="1" applyAlignment="1">
      <alignment horizontal="center"/>
    </xf>
    <xf numFmtId="231" fontId="6" fillId="0" borderId="0" xfId="0" applyNumberFormat="1" applyFont="1" applyAlignment="1">
      <alignment horizontal="center"/>
    </xf>
    <xf numFmtId="194" fontId="6" fillId="0" borderId="13" xfId="15" applyFont="1" applyBorder="1" applyAlignment="1">
      <alignment horizontal="center"/>
    </xf>
    <xf numFmtId="194" fontId="6" fillId="0" borderId="15" xfId="1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94" fontId="5" fillId="0" borderId="0" xfId="15" applyFont="1" applyAlignment="1">
      <alignment horizontal="right"/>
    </xf>
    <xf numFmtId="194" fontId="6" fillId="0" borderId="0" xfId="15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9" fillId="4" borderId="2" xfId="0" applyNumberFormat="1" applyFont="1" applyFill="1" applyBorder="1" applyAlignment="1">
      <alignment horizontal="center" vertical="center"/>
    </xf>
    <xf numFmtId="4" fontId="19" fillId="4" borderId="4" xfId="0" applyNumberFormat="1" applyFont="1" applyFill="1" applyBorder="1" applyAlignment="1">
      <alignment horizontal="center" vertical="center"/>
    </xf>
    <xf numFmtId="4" fontId="19" fillId="4" borderId="6" xfId="0" applyNumberFormat="1" applyFont="1" applyFill="1" applyBorder="1" applyAlignment="1">
      <alignment horizontal="center" vertical="center"/>
    </xf>
    <xf numFmtId="4" fontId="19" fillId="4" borderId="16" xfId="0" applyNumberFormat="1" applyFont="1" applyFill="1" applyBorder="1" applyAlignment="1">
      <alignment horizontal="center" vertical="center"/>
    </xf>
    <xf numFmtId="4" fontId="19" fillId="4" borderId="17" xfId="0" applyNumberFormat="1" applyFont="1" applyFill="1" applyBorder="1" applyAlignment="1">
      <alignment horizontal="center" vertical="center"/>
    </xf>
    <xf numFmtId="4" fontId="20" fillId="4" borderId="2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/>
    </xf>
    <xf numFmtId="43" fontId="19" fillId="4" borderId="16" xfId="0" applyNumberFormat="1" applyFont="1" applyFill="1" applyBorder="1" applyAlignment="1">
      <alignment horizontal="center" vertical="center"/>
    </xf>
    <xf numFmtId="43" fontId="19" fillId="4" borderId="8" xfId="0" applyNumberFormat="1" applyFont="1" applyFill="1" applyBorder="1" applyAlignment="1">
      <alignment horizontal="center" vertical="center"/>
    </xf>
    <xf numFmtId="43" fontId="19" fillId="4" borderId="17" xfId="0" applyNumberFormat="1" applyFont="1" applyFill="1" applyBorder="1" applyAlignment="1">
      <alignment horizontal="center" vertical="center"/>
    </xf>
    <xf numFmtId="43" fontId="19" fillId="4" borderId="11" xfId="0" applyNumberFormat="1" applyFont="1" applyFill="1" applyBorder="1" applyAlignment="1">
      <alignment horizontal="center" vertical="center"/>
    </xf>
    <xf numFmtId="4" fontId="19" fillId="4" borderId="5" xfId="0" applyNumberFormat="1" applyFont="1" applyFill="1" applyBorder="1" applyAlignment="1">
      <alignment horizontal="center" vertical="center"/>
    </xf>
    <xf numFmtId="4" fontId="19" fillId="4" borderId="7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4" fontId="18" fillId="0" borderId="2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49" fontId="18" fillId="0" borderId="8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3" fontId="18" fillId="0" borderId="16" xfId="0" applyNumberFormat="1" applyFont="1" applyBorder="1" applyAlignment="1">
      <alignment horizontal="center" vertical="center"/>
    </xf>
    <xf numFmtId="43" fontId="18" fillId="0" borderId="5" xfId="0" applyNumberFormat="1" applyFont="1" applyBorder="1" applyAlignment="1">
      <alignment horizontal="center" vertical="center"/>
    </xf>
    <xf numFmtId="43" fontId="18" fillId="0" borderId="17" xfId="0" applyNumberFormat="1" applyFont="1" applyBorder="1" applyAlignment="1">
      <alignment horizontal="center" vertical="center"/>
    </xf>
    <xf numFmtId="43" fontId="18" fillId="0" borderId="7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3" fontId="14" fillId="0" borderId="16" xfId="0" applyNumberFormat="1" applyFont="1" applyBorder="1" applyAlignment="1">
      <alignment horizontal="center" vertical="center"/>
    </xf>
    <xf numFmtId="43" fontId="14" fillId="0" borderId="5" xfId="0" applyNumberFormat="1" applyFont="1" applyBorder="1" applyAlignment="1">
      <alignment horizontal="center" vertical="center"/>
    </xf>
    <xf numFmtId="43" fontId="14" fillId="0" borderId="17" xfId="0" applyNumberFormat="1" applyFont="1" applyBorder="1" applyAlignment="1">
      <alignment horizontal="center" vertical="center"/>
    </xf>
    <xf numFmtId="43" fontId="14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4" fontId="18" fillId="0" borderId="2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right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right"/>
    </xf>
    <xf numFmtId="194" fontId="6" fillId="0" borderId="12" xfId="0" applyNumberFormat="1" applyFont="1" applyBorder="1" applyAlignment="1">
      <alignment/>
    </xf>
    <xf numFmtId="194" fontId="6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0" y="447675"/>
          <a:ext cx="2676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28575</xdr:rowOff>
    </xdr:from>
    <xdr:to>
      <xdr:col>12</xdr:col>
      <xdr:colOff>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8924925" y="4476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3</xdr:col>
      <xdr:colOff>19050</xdr:colOff>
      <xdr:row>39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0" y="7048500"/>
          <a:ext cx="2676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28575</xdr:rowOff>
    </xdr:from>
    <xdr:to>
      <xdr:col>3</xdr:col>
      <xdr:colOff>19050</xdr:colOff>
      <xdr:row>74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0" y="14049375"/>
          <a:ext cx="2676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28575</xdr:rowOff>
    </xdr:from>
    <xdr:to>
      <xdr:col>3</xdr:col>
      <xdr:colOff>19050</xdr:colOff>
      <xdr:row>109</xdr:row>
      <xdr:rowOff>19050</xdr:rowOff>
    </xdr:to>
    <xdr:sp>
      <xdr:nvSpPr>
        <xdr:cNvPr id="5" name="Line 7"/>
        <xdr:cNvSpPr>
          <a:spLocks/>
        </xdr:cNvSpPr>
      </xdr:nvSpPr>
      <xdr:spPr>
        <a:xfrm flipH="1" flipV="1">
          <a:off x="0" y="21050250"/>
          <a:ext cx="2676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24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5619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3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696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28575</xdr:rowOff>
    </xdr:from>
    <xdr:to>
      <xdr:col>3</xdr:col>
      <xdr:colOff>0</xdr:colOff>
      <xdr:row>62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1382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2067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34366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3439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0" y="4125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0" y="2753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0" y="2753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0" y="2067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38100</xdr:rowOff>
    </xdr:from>
    <xdr:to>
      <xdr:col>3</xdr:col>
      <xdr:colOff>0</xdr:colOff>
      <xdr:row>122</xdr:row>
      <xdr:rowOff>9525</xdr:rowOff>
    </xdr:to>
    <xdr:sp>
      <xdr:nvSpPr>
        <xdr:cNvPr id="45" name="Line 46"/>
        <xdr:cNvSpPr>
          <a:spLocks/>
        </xdr:cNvSpPr>
      </xdr:nvSpPr>
      <xdr:spPr>
        <a:xfrm flipH="1" flipV="1">
          <a:off x="0" y="27546300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0" y="34366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0" y="4125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0" y="3439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1647825</xdr:colOff>
      <xdr:row>0</xdr:row>
      <xdr:rowOff>0</xdr:rowOff>
    </xdr:from>
    <xdr:to>
      <xdr:col>6</xdr:col>
      <xdr:colOff>695325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270510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0</xdr:row>
      <xdr:rowOff>0</xdr:rowOff>
    </xdr:from>
    <xdr:to>
      <xdr:col>17</xdr:col>
      <xdr:colOff>352425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 flipH="1" flipV="1">
          <a:off x="975360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17</xdr:col>
      <xdr:colOff>485775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9886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17</xdr:col>
      <xdr:colOff>371475</xdr:colOff>
      <xdr:row>0</xdr:row>
      <xdr:rowOff>0</xdr:rowOff>
    </xdr:to>
    <xdr:sp>
      <xdr:nvSpPr>
        <xdr:cNvPr id="26" name="Line 31"/>
        <xdr:cNvSpPr>
          <a:spLocks/>
        </xdr:cNvSpPr>
      </xdr:nvSpPr>
      <xdr:spPr>
        <a:xfrm flipH="1" flipV="1">
          <a:off x="97726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3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4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4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4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4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4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4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4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4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5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5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5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5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5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5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5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5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6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1" name="Line 62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2" name="Line 63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3" name="Line 64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4" name="Line 65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5" name="Line 66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6" name="Line 67"/>
        <xdr:cNvSpPr>
          <a:spLocks/>
        </xdr:cNvSpPr>
      </xdr:nvSpPr>
      <xdr:spPr>
        <a:xfrm flipH="1" flipV="1"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7" name="Line 68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6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70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71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1" name="Line 72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2" name="Line 73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3" name="Line 74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4" name="Line 75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76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77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78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7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9" name="Line 80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1" name="Line 82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2" name="Line 83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3" name="Line 84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4" name="Line 85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5" name="Line 86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87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88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8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90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" name="Line 91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" name="Line 92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93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Line 9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Line 9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9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9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9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10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10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Line 10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10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10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10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10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Line 10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10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10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11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0</xdr:rowOff>
    </xdr:from>
    <xdr:to>
      <xdr:col>17</xdr:col>
      <xdr:colOff>342900</xdr:colOff>
      <xdr:row>0</xdr:row>
      <xdr:rowOff>0</xdr:rowOff>
    </xdr:to>
    <xdr:sp>
      <xdr:nvSpPr>
        <xdr:cNvPr id="99" name="Line 112"/>
        <xdr:cNvSpPr>
          <a:spLocks/>
        </xdr:cNvSpPr>
      </xdr:nvSpPr>
      <xdr:spPr>
        <a:xfrm flipH="1" flipV="1">
          <a:off x="974407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18</xdr:col>
      <xdr:colOff>104775</xdr:colOff>
      <xdr:row>0</xdr:row>
      <xdr:rowOff>0</xdr:rowOff>
    </xdr:to>
    <xdr:sp>
      <xdr:nvSpPr>
        <xdr:cNvPr id="100" name="Line 114"/>
        <xdr:cNvSpPr>
          <a:spLocks/>
        </xdr:cNvSpPr>
      </xdr:nvSpPr>
      <xdr:spPr>
        <a:xfrm flipH="1" flipV="1">
          <a:off x="101155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17</xdr:col>
      <xdr:colOff>371475</xdr:colOff>
      <xdr:row>0</xdr:row>
      <xdr:rowOff>0</xdr:rowOff>
    </xdr:to>
    <xdr:sp>
      <xdr:nvSpPr>
        <xdr:cNvPr id="101" name="Line 117"/>
        <xdr:cNvSpPr>
          <a:spLocks/>
        </xdr:cNvSpPr>
      </xdr:nvSpPr>
      <xdr:spPr>
        <a:xfrm flipH="1" flipV="1">
          <a:off x="97726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0</xdr:row>
      <xdr:rowOff>0</xdr:rowOff>
    </xdr:from>
    <xdr:to>
      <xdr:col>17</xdr:col>
      <xdr:colOff>581025</xdr:colOff>
      <xdr:row>0</xdr:row>
      <xdr:rowOff>161925</xdr:rowOff>
    </xdr:to>
    <xdr:sp>
      <xdr:nvSpPr>
        <xdr:cNvPr id="102" name="Line 119"/>
        <xdr:cNvSpPr>
          <a:spLocks/>
        </xdr:cNvSpPr>
      </xdr:nvSpPr>
      <xdr:spPr>
        <a:xfrm flipH="1" flipV="1">
          <a:off x="9982200" y="0"/>
          <a:ext cx="3038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03" name="Line 122"/>
        <xdr:cNvSpPr>
          <a:spLocks/>
        </xdr:cNvSpPr>
      </xdr:nvSpPr>
      <xdr:spPr>
        <a:xfrm flipH="1" flipV="1">
          <a:off x="1052512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2"/>
  <sheetViews>
    <sheetView tabSelected="1" view="pageBreakPreview" zoomScaleSheetLayoutView="100" workbookViewId="0" topLeftCell="A1">
      <selection activeCell="A20" sqref="A20"/>
    </sheetView>
  </sheetViews>
  <sheetFormatPr defaultColWidth="9.140625" defaultRowHeight="18.75" customHeight="1"/>
  <cols>
    <col min="1" max="1" width="55.8515625" style="9" customWidth="1"/>
    <col min="2" max="2" width="10.57421875" style="28" customWidth="1"/>
    <col min="3" max="3" width="15.57421875" style="31" customWidth="1"/>
    <col min="4" max="4" width="16.7109375" style="27" customWidth="1"/>
    <col min="5" max="5" width="10.8515625" style="9" bestFit="1" customWidth="1"/>
    <col min="6" max="6" width="11.140625" style="9" bestFit="1" customWidth="1"/>
    <col min="7" max="16384" width="9.140625" style="9" customWidth="1"/>
  </cols>
  <sheetData>
    <row r="1" spans="1:4" ht="18.75" customHeight="1">
      <c r="A1" s="327" t="s">
        <v>17</v>
      </c>
      <c r="B1" s="327"/>
      <c r="C1" s="327"/>
      <c r="D1" s="327"/>
    </row>
    <row r="2" spans="1:4" ht="18.75" customHeight="1">
      <c r="A2" s="327" t="s">
        <v>18</v>
      </c>
      <c r="B2" s="327"/>
      <c r="C2" s="327"/>
      <c r="D2" s="327"/>
    </row>
    <row r="3" spans="1:4" ht="18.75" customHeight="1">
      <c r="A3" s="331" t="s">
        <v>318</v>
      </c>
      <c r="B3" s="331"/>
      <c r="C3" s="331"/>
      <c r="D3" s="331"/>
    </row>
    <row r="4" spans="1:4" s="13" customFormat="1" ht="18.75" customHeight="1">
      <c r="A4" s="10" t="s">
        <v>19</v>
      </c>
      <c r="B4" s="11" t="s">
        <v>20</v>
      </c>
      <c r="C4" s="111" t="s">
        <v>21</v>
      </c>
      <c r="D4" s="12" t="s">
        <v>22</v>
      </c>
    </row>
    <row r="5" spans="1:4" s="13" customFormat="1" ht="18.75" customHeight="1">
      <c r="A5" s="14" t="s">
        <v>319</v>
      </c>
      <c r="B5" s="19" t="s">
        <v>320</v>
      </c>
      <c r="C5" s="16">
        <v>275</v>
      </c>
      <c r="D5" s="17"/>
    </row>
    <row r="6" spans="1:4" s="13" customFormat="1" ht="18.75" customHeight="1">
      <c r="A6" s="18" t="s">
        <v>103</v>
      </c>
      <c r="B6" s="19" t="s">
        <v>105</v>
      </c>
      <c r="C6" s="16">
        <v>14613676.9</v>
      </c>
      <c r="D6" s="17"/>
    </row>
    <row r="7" spans="1:4" ht="18.75" customHeight="1">
      <c r="A7" s="18" t="s">
        <v>100</v>
      </c>
      <c r="B7" s="19" t="s">
        <v>105</v>
      </c>
      <c r="C7" s="16">
        <v>5987340.48</v>
      </c>
      <c r="D7" s="17"/>
    </row>
    <row r="8" spans="1:4" ht="18.75" customHeight="1">
      <c r="A8" s="18" t="s">
        <v>102</v>
      </c>
      <c r="B8" s="19" t="s">
        <v>105</v>
      </c>
      <c r="C8" s="16">
        <v>120645.2</v>
      </c>
      <c r="D8" s="20"/>
    </row>
    <row r="9" spans="1:4" ht="18.75" customHeight="1">
      <c r="A9" s="18" t="s">
        <v>101</v>
      </c>
      <c r="B9" s="19" t="s">
        <v>105</v>
      </c>
      <c r="C9" s="16">
        <v>1194.03</v>
      </c>
      <c r="D9" s="20"/>
    </row>
    <row r="10" spans="1:4" ht="18.75" customHeight="1">
      <c r="A10" s="18" t="s">
        <v>104</v>
      </c>
      <c r="B10" s="19" t="s">
        <v>106</v>
      </c>
      <c r="C10" s="16">
        <v>8601359.6</v>
      </c>
      <c r="D10" s="20"/>
    </row>
    <row r="11" spans="1:4" ht="18.75" customHeight="1">
      <c r="A11" s="18" t="s">
        <v>51</v>
      </c>
      <c r="B11" s="19" t="s">
        <v>108</v>
      </c>
      <c r="C11" s="16">
        <v>111392</v>
      </c>
      <c r="D11" s="20"/>
    </row>
    <row r="12" spans="1:4" ht="18.75" customHeight="1">
      <c r="A12" s="18" t="s">
        <v>123</v>
      </c>
      <c r="B12" s="19" t="s">
        <v>182</v>
      </c>
      <c r="C12" s="16">
        <v>481566</v>
      </c>
      <c r="D12" s="20"/>
    </row>
    <row r="13" spans="1:4" ht="18.75" customHeight="1">
      <c r="A13" s="18" t="s">
        <v>187</v>
      </c>
      <c r="B13" s="19" t="s">
        <v>109</v>
      </c>
      <c r="C13" s="16">
        <v>458090</v>
      </c>
      <c r="D13" s="20"/>
    </row>
    <row r="14" spans="1:4" ht="18.75" customHeight="1">
      <c r="A14" s="18" t="s">
        <v>188</v>
      </c>
      <c r="B14" s="19" t="s">
        <v>109</v>
      </c>
      <c r="C14" s="16">
        <v>22420</v>
      </c>
      <c r="D14" s="20"/>
    </row>
    <row r="15" spans="1:4" ht="18.75" customHeight="1">
      <c r="A15" s="18" t="s">
        <v>189</v>
      </c>
      <c r="B15" s="19" t="s">
        <v>109</v>
      </c>
      <c r="C15" s="16">
        <v>164700</v>
      </c>
      <c r="D15" s="20"/>
    </row>
    <row r="16" spans="1:4" ht="18.75" customHeight="1">
      <c r="A16" s="18" t="s">
        <v>23</v>
      </c>
      <c r="B16" s="19" t="s">
        <v>110</v>
      </c>
      <c r="C16" s="16">
        <v>37888.75</v>
      </c>
      <c r="D16" s="20"/>
    </row>
    <row r="17" spans="1:4" ht="18.75" customHeight="1">
      <c r="A17" s="18" t="s">
        <v>24</v>
      </c>
      <c r="B17" s="19" t="s">
        <v>111</v>
      </c>
      <c r="C17" s="16">
        <v>143440</v>
      </c>
      <c r="D17" s="20"/>
    </row>
    <row r="18" spans="1:4" ht="18.75" customHeight="1">
      <c r="A18" s="18" t="s">
        <v>25</v>
      </c>
      <c r="B18" s="19" t="s">
        <v>112</v>
      </c>
      <c r="C18" s="16">
        <v>76384</v>
      </c>
      <c r="D18" s="20"/>
    </row>
    <row r="19" spans="1:4" ht="18.75" customHeight="1">
      <c r="A19" s="18" t="s">
        <v>26</v>
      </c>
      <c r="B19" s="19" t="s">
        <v>113</v>
      </c>
      <c r="C19" s="16">
        <v>46061.01</v>
      </c>
      <c r="D19" s="20"/>
    </row>
    <row r="20" spans="1:4" ht="18.75" customHeight="1">
      <c r="A20" s="18">
        <f>-F11</f>
        <v>0</v>
      </c>
      <c r="B20" s="19" t="s">
        <v>114</v>
      </c>
      <c r="C20" s="16">
        <v>28939.85</v>
      </c>
      <c r="D20" s="20"/>
    </row>
    <row r="21" spans="1:4" ht="18.75" customHeight="1">
      <c r="A21" s="18" t="s">
        <v>52</v>
      </c>
      <c r="B21" s="19" t="s">
        <v>186</v>
      </c>
      <c r="C21" s="16">
        <v>691600</v>
      </c>
      <c r="D21" s="20"/>
    </row>
    <row r="22" spans="1:4" ht="18.75" customHeight="1">
      <c r="A22" s="18" t="s">
        <v>107</v>
      </c>
      <c r="B22" s="19" t="s">
        <v>115</v>
      </c>
      <c r="C22" s="16">
        <v>1002450</v>
      </c>
      <c r="D22" s="20"/>
    </row>
    <row r="23" spans="1:4" ht="18.75" customHeight="1">
      <c r="A23" s="18" t="s">
        <v>277</v>
      </c>
      <c r="B23" s="19" t="s">
        <v>475</v>
      </c>
      <c r="C23" s="16">
        <v>1103800</v>
      </c>
      <c r="D23" s="20"/>
    </row>
    <row r="24" spans="1:4" ht="18.75" customHeight="1">
      <c r="A24" s="18" t="s">
        <v>278</v>
      </c>
      <c r="B24" s="19" t="s">
        <v>475</v>
      </c>
      <c r="C24" s="16">
        <v>181500</v>
      </c>
      <c r="D24" s="20"/>
    </row>
    <row r="25" spans="1:4" ht="18.75" customHeight="1">
      <c r="A25" s="18" t="s">
        <v>27</v>
      </c>
      <c r="B25" s="19" t="s">
        <v>117</v>
      </c>
      <c r="C25" s="16"/>
      <c r="D25" s="21">
        <v>13719639.73</v>
      </c>
    </row>
    <row r="26" spans="1:4" ht="18.75" customHeight="1">
      <c r="A26" s="18" t="s">
        <v>28</v>
      </c>
      <c r="B26" s="19" t="s">
        <v>118</v>
      </c>
      <c r="C26" s="16"/>
      <c r="D26" s="22">
        <v>9943766.51</v>
      </c>
    </row>
    <row r="27" spans="1:4" ht="18.75" customHeight="1">
      <c r="A27" s="18" t="s">
        <v>191</v>
      </c>
      <c r="B27" s="19" t="s">
        <v>142</v>
      </c>
      <c r="C27" s="118"/>
      <c r="D27" s="27">
        <v>1357003.74</v>
      </c>
    </row>
    <row r="28" spans="1:4" ht="18.75" customHeight="1">
      <c r="A28" s="14" t="s">
        <v>193</v>
      </c>
      <c r="B28" s="19" t="s">
        <v>141</v>
      </c>
      <c r="C28" s="118"/>
      <c r="D28" s="27">
        <v>0</v>
      </c>
    </row>
    <row r="29" spans="1:4" ht="18.75" customHeight="1">
      <c r="A29" s="18" t="s">
        <v>192</v>
      </c>
      <c r="B29" s="19" t="s">
        <v>119</v>
      </c>
      <c r="C29" s="118"/>
      <c r="D29" s="117">
        <f>5622364.82+2088.02</f>
        <v>5624452.84</v>
      </c>
    </row>
    <row r="30" spans="1:4" ht="18.75" customHeight="1">
      <c r="A30" s="18" t="s">
        <v>336</v>
      </c>
      <c r="B30" s="19" t="s">
        <v>339</v>
      </c>
      <c r="C30" s="16"/>
      <c r="D30" s="20">
        <v>3229860</v>
      </c>
    </row>
    <row r="31" spans="1:4" ht="18.75" customHeight="1">
      <c r="A31" s="18"/>
      <c r="B31" s="19"/>
      <c r="C31" s="16"/>
      <c r="D31" s="20"/>
    </row>
    <row r="32" spans="1:4" ht="18.75" customHeight="1">
      <c r="A32" s="18"/>
      <c r="B32" s="19"/>
      <c r="C32" s="16"/>
      <c r="D32" s="20"/>
    </row>
    <row r="33" spans="1:4" ht="18.75" customHeight="1">
      <c r="A33" s="18"/>
      <c r="B33" s="125"/>
      <c r="C33" s="26"/>
      <c r="D33" s="20"/>
    </row>
    <row r="34" spans="2:4" ht="18.75" customHeight="1">
      <c r="B34" s="23"/>
      <c r="C34" s="24">
        <f>SUM(C5:C33)</f>
        <v>33874722.82000001</v>
      </c>
      <c r="D34" s="25">
        <f>SUM(D25:D33)</f>
        <v>33874722.82</v>
      </c>
    </row>
    <row r="35" spans="2:3" ht="18.75" customHeight="1">
      <c r="B35" s="23"/>
      <c r="C35" s="26"/>
    </row>
    <row r="36" spans="2:3" ht="18.75" customHeight="1">
      <c r="B36" s="23"/>
      <c r="C36" s="26"/>
    </row>
    <row r="37" ht="18.75" customHeight="1">
      <c r="C37" s="26"/>
    </row>
    <row r="38" spans="1:4" ht="18.75" customHeight="1">
      <c r="A38" s="328" t="s">
        <v>232</v>
      </c>
      <c r="B38" s="328"/>
      <c r="C38" s="328"/>
      <c r="D38" s="328"/>
    </row>
    <row r="39" spans="1:4" ht="18.75" customHeight="1">
      <c r="A39" s="328" t="s">
        <v>279</v>
      </c>
      <c r="B39" s="328"/>
      <c r="C39" s="328"/>
      <c r="D39" s="328"/>
    </row>
    <row r="40" spans="1:4" ht="18.75" customHeight="1">
      <c r="A40" s="13" t="s">
        <v>80</v>
      </c>
      <c r="B40" s="29"/>
      <c r="C40" s="29"/>
      <c r="D40" s="29"/>
    </row>
    <row r="41" spans="1:4" ht="18.75" customHeight="1">
      <c r="A41" s="29"/>
      <c r="B41" s="29"/>
      <c r="C41" s="30"/>
      <c r="D41" s="29"/>
    </row>
    <row r="42" spans="1:4" ht="18.75" customHeight="1">
      <c r="A42" s="330" t="s">
        <v>341</v>
      </c>
      <c r="B42" s="330"/>
      <c r="C42" s="330"/>
      <c r="D42" s="330"/>
    </row>
    <row r="43" spans="1:4" ht="18.75" customHeight="1">
      <c r="A43" s="330" t="s">
        <v>33</v>
      </c>
      <c r="B43" s="330"/>
      <c r="C43" s="330"/>
      <c r="D43" s="330"/>
    </row>
    <row r="44" spans="1:4" ht="18.75" customHeight="1">
      <c r="A44" s="329" t="s">
        <v>340</v>
      </c>
      <c r="B44" s="329"/>
      <c r="C44" s="329"/>
      <c r="D44" s="329"/>
    </row>
    <row r="45" spans="1:4" ht="18.75" customHeight="1">
      <c r="A45" s="330" t="s">
        <v>330</v>
      </c>
      <c r="B45" s="330"/>
      <c r="C45" s="330"/>
      <c r="D45" s="330"/>
    </row>
    <row r="46" spans="1:4" ht="18.75" customHeight="1">
      <c r="A46" s="330" t="s">
        <v>121</v>
      </c>
      <c r="B46" s="330"/>
      <c r="C46" s="330"/>
      <c r="D46" s="330"/>
    </row>
    <row r="47" spans="1:4" ht="18.75" customHeight="1">
      <c r="A47" s="113" t="s">
        <v>36</v>
      </c>
      <c r="B47" s="13"/>
      <c r="C47" s="13"/>
      <c r="D47" s="124">
        <v>226050</v>
      </c>
    </row>
    <row r="48" spans="1:4" ht="18.75" customHeight="1">
      <c r="A48" s="9" t="s">
        <v>37</v>
      </c>
      <c r="D48" s="27">
        <v>2.8</v>
      </c>
    </row>
    <row r="49" spans="1:4" ht="18.75" customHeight="1">
      <c r="A49" s="9" t="s">
        <v>38</v>
      </c>
      <c r="D49" s="27">
        <v>7855.74</v>
      </c>
    </row>
    <row r="50" spans="1:4" ht="18.75" customHeight="1">
      <c r="A50" s="9" t="s">
        <v>122</v>
      </c>
      <c r="D50" s="27">
        <v>1123095.2</v>
      </c>
    </row>
    <row r="52" spans="1:4" ht="18.75" customHeight="1">
      <c r="A52" s="112" t="s">
        <v>39</v>
      </c>
      <c r="D52" s="32">
        <f>SUM(D47:D51)</f>
        <v>1357003.74</v>
      </c>
    </row>
    <row r="53" spans="1:4" ht="18.75" customHeight="1">
      <c r="A53" s="13"/>
      <c r="D53" s="32"/>
    </row>
    <row r="54" spans="1:4" ht="18.75" customHeight="1">
      <c r="A54" s="330" t="s">
        <v>321</v>
      </c>
      <c r="B54" s="330"/>
      <c r="C54" s="330"/>
      <c r="D54" s="330"/>
    </row>
    <row r="55" spans="1:4" ht="18.75" customHeight="1">
      <c r="A55" s="330" t="s">
        <v>190</v>
      </c>
      <c r="B55" s="330"/>
      <c r="C55" s="330"/>
      <c r="D55" s="330"/>
    </row>
    <row r="56" spans="1:4" ht="18.75" customHeight="1">
      <c r="A56" s="9" t="s">
        <v>124</v>
      </c>
      <c r="B56" s="33"/>
      <c r="D56" s="26"/>
    </row>
    <row r="57" spans="1:4" ht="18.75" customHeight="1">
      <c r="A57" s="9" t="s">
        <v>125</v>
      </c>
      <c r="B57" s="33"/>
      <c r="D57" s="26"/>
    </row>
    <row r="58" spans="1:4" ht="18.75" customHeight="1">
      <c r="A58" s="9" t="s">
        <v>126</v>
      </c>
      <c r="B58" s="33"/>
      <c r="D58" s="26"/>
    </row>
    <row r="59" spans="1:4" ht="18.75" customHeight="1">
      <c r="A59" s="9" t="s">
        <v>127</v>
      </c>
      <c r="B59" s="332"/>
      <c r="C59" s="332"/>
      <c r="D59" s="26"/>
    </row>
    <row r="60" spans="1:4" ht="18.75" customHeight="1">
      <c r="A60" s="112" t="s">
        <v>39</v>
      </c>
      <c r="D60" s="32"/>
    </row>
    <row r="61" spans="1:4" ht="18.75" customHeight="1">
      <c r="A61" s="13"/>
      <c r="D61" s="32"/>
    </row>
    <row r="62" spans="1:4" ht="18.75" customHeight="1">
      <c r="A62" s="330" t="s">
        <v>331</v>
      </c>
      <c r="B62" s="330"/>
      <c r="C62" s="330"/>
      <c r="D62" s="330"/>
    </row>
    <row r="63" spans="1:4" ht="18.75" customHeight="1">
      <c r="A63" s="330" t="s">
        <v>128</v>
      </c>
      <c r="B63" s="330"/>
      <c r="C63" s="330"/>
      <c r="D63" s="330"/>
    </row>
    <row r="64" spans="1:4" ht="18.75" customHeight="1">
      <c r="A64" s="113" t="s">
        <v>322</v>
      </c>
      <c r="B64" s="13"/>
      <c r="C64" s="13"/>
      <c r="D64" s="62">
        <v>578</v>
      </c>
    </row>
    <row r="65" spans="1:4" ht="18.75" customHeight="1">
      <c r="A65" s="9" t="s">
        <v>129</v>
      </c>
      <c r="B65" s="33"/>
      <c r="D65" s="26">
        <v>147.74</v>
      </c>
    </row>
    <row r="66" spans="1:4" ht="18.75" customHeight="1">
      <c r="A66" s="9" t="s">
        <v>130</v>
      </c>
      <c r="B66" s="33"/>
      <c r="D66" s="26">
        <v>340</v>
      </c>
    </row>
    <row r="67" spans="1:4" ht="18.75" customHeight="1">
      <c r="A67" s="9" t="s">
        <v>131</v>
      </c>
      <c r="B67" s="33"/>
      <c r="D67" s="26">
        <v>10</v>
      </c>
    </row>
    <row r="68" spans="1:4" ht="18.75" customHeight="1">
      <c r="A68" s="9" t="s">
        <v>132</v>
      </c>
      <c r="B68" s="332"/>
      <c r="C68" s="332"/>
      <c r="D68" s="26">
        <v>150</v>
      </c>
    </row>
    <row r="69" spans="1:4" ht="18.75" customHeight="1">
      <c r="A69" s="9" t="s">
        <v>323</v>
      </c>
      <c r="B69" s="33"/>
      <c r="D69" s="26">
        <v>120</v>
      </c>
    </row>
    <row r="70" spans="1:4" ht="18.75" customHeight="1">
      <c r="A70" s="9" t="s">
        <v>133</v>
      </c>
      <c r="B70" s="332"/>
      <c r="C70" s="332"/>
      <c r="D70" s="26">
        <v>2980</v>
      </c>
    </row>
    <row r="71" spans="1:4" ht="18.75" customHeight="1">
      <c r="A71" s="113" t="s">
        <v>134</v>
      </c>
      <c r="D71" s="27">
        <v>120</v>
      </c>
    </row>
    <row r="72" spans="1:4" ht="18.75" customHeight="1">
      <c r="A72" s="9" t="s">
        <v>135</v>
      </c>
      <c r="B72" s="9"/>
      <c r="C72" s="30"/>
      <c r="D72" s="34">
        <v>8404.11</v>
      </c>
    </row>
    <row r="73" spans="1:4" ht="18.75" customHeight="1">
      <c r="A73" s="9" t="s">
        <v>136</v>
      </c>
      <c r="B73" s="9"/>
      <c r="C73" s="30"/>
      <c r="D73" s="34">
        <v>420</v>
      </c>
    </row>
    <row r="74" spans="1:4" ht="18.75" customHeight="1">
      <c r="A74" s="113" t="s">
        <v>137</v>
      </c>
      <c r="B74" s="9"/>
      <c r="C74" s="30"/>
      <c r="D74" s="34">
        <v>400</v>
      </c>
    </row>
    <row r="75" spans="1:4" ht="18.75" customHeight="1">
      <c r="A75" s="113" t="s">
        <v>324</v>
      </c>
      <c r="B75" s="9"/>
      <c r="C75" s="30"/>
      <c r="D75" s="34">
        <v>1131389.92</v>
      </c>
    </row>
    <row r="76" spans="1:4" ht="18.75" customHeight="1">
      <c r="A76" s="9" t="s">
        <v>138</v>
      </c>
      <c r="B76" s="9"/>
      <c r="C76" s="30"/>
      <c r="D76" s="34">
        <v>436121.67</v>
      </c>
    </row>
    <row r="77" spans="1:4" ht="18.75" customHeight="1">
      <c r="A77" s="9" t="s">
        <v>325</v>
      </c>
      <c r="B77" s="9"/>
      <c r="C77" s="30"/>
      <c r="D77" s="34">
        <v>24383.94</v>
      </c>
    </row>
    <row r="78" spans="1:4" ht="18.75" customHeight="1">
      <c r="A78" s="9" t="s">
        <v>139</v>
      </c>
      <c r="B78" s="9"/>
      <c r="C78" s="30"/>
      <c r="D78" s="34">
        <v>171504.71</v>
      </c>
    </row>
    <row r="79" spans="1:4" ht="18.75" customHeight="1">
      <c r="A79" s="9" t="s">
        <v>140</v>
      </c>
      <c r="B79" s="9"/>
      <c r="C79" s="30"/>
      <c r="D79" s="34">
        <v>406812.86</v>
      </c>
    </row>
    <row r="80" spans="1:4" ht="18.75" customHeight="1">
      <c r="A80" s="9" t="s">
        <v>326</v>
      </c>
      <c r="B80" s="9"/>
      <c r="C80" s="30"/>
      <c r="D80" s="34">
        <v>25913.68</v>
      </c>
    </row>
    <row r="81" spans="1:4" ht="18.75" customHeight="1">
      <c r="A81" s="9" t="s">
        <v>327</v>
      </c>
      <c r="B81" s="9"/>
      <c r="C81" s="30"/>
      <c r="D81" s="34">
        <v>26430</v>
      </c>
    </row>
    <row r="82" spans="1:4" ht="18.75" customHeight="1">
      <c r="A82" s="9" t="s">
        <v>328</v>
      </c>
      <c r="B82" s="9"/>
      <c r="C82" s="30"/>
      <c r="D82" s="34">
        <v>450900</v>
      </c>
    </row>
    <row r="83" spans="1:4" ht="18.75" customHeight="1">
      <c r="A83" s="9" t="s">
        <v>329</v>
      </c>
      <c r="B83" s="9"/>
      <c r="C83" s="30"/>
      <c r="D83" s="34">
        <v>120000</v>
      </c>
    </row>
    <row r="84" spans="1:4" ht="18.75" customHeight="1">
      <c r="A84" s="113" t="s">
        <v>332</v>
      </c>
      <c r="B84" s="115"/>
      <c r="C84" s="116"/>
      <c r="D84" s="34">
        <v>18000</v>
      </c>
    </row>
    <row r="85" spans="1:4" ht="18.75" customHeight="1">
      <c r="A85" s="9" t="s">
        <v>333</v>
      </c>
      <c r="B85" s="9"/>
      <c r="C85" s="30"/>
      <c r="D85" s="34">
        <v>1125225</v>
      </c>
    </row>
    <row r="86" spans="1:4" ht="18.75" customHeight="1">
      <c r="A86" s="9" t="s">
        <v>334</v>
      </c>
      <c r="B86" s="9"/>
      <c r="C86" s="30"/>
      <c r="D86" s="34">
        <v>1667136</v>
      </c>
    </row>
    <row r="87" spans="1:4" ht="18.75" customHeight="1">
      <c r="A87" s="9" t="s">
        <v>335</v>
      </c>
      <c r="B87" s="9"/>
      <c r="C87" s="30"/>
      <c r="D87" s="65">
        <v>4000</v>
      </c>
    </row>
    <row r="88" spans="1:4" ht="18.75" customHeight="1">
      <c r="A88" s="112" t="s">
        <v>39</v>
      </c>
      <c r="D88" s="32">
        <f>SUM(D64:D87)</f>
        <v>5621487.63</v>
      </c>
    </row>
    <row r="89" spans="1:4" ht="18" customHeight="1">
      <c r="A89" s="330" t="s">
        <v>337</v>
      </c>
      <c r="B89" s="330"/>
      <c r="C89" s="330"/>
      <c r="D89" s="330"/>
    </row>
    <row r="90" spans="1:4" ht="18" customHeight="1">
      <c r="A90" s="330" t="s">
        <v>338</v>
      </c>
      <c r="B90" s="330"/>
      <c r="C90" s="330"/>
      <c r="D90" s="330"/>
    </row>
    <row r="91" spans="1:4" ht="18" customHeight="1">
      <c r="A91" s="113" t="s">
        <v>219</v>
      </c>
      <c r="B91" s="13"/>
      <c r="C91" s="13"/>
      <c r="D91" s="124">
        <v>2765500</v>
      </c>
    </row>
    <row r="92" spans="1:4" ht="18.75" customHeight="1">
      <c r="A92" s="9" t="s">
        <v>220</v>
      </c>
      <c r="D92" s="27">
        <v>455000</v>
      </c>
    </row>
    <row r="93" spans="1:4" ht="18.75" customHeight="1">
      <c r="A93" s="9" t="s">
        <v>342</v>
      </c>
      <c r="D93" s="27">
        <v>9360</v>
      </c>
    </row>
    <row r="95" spans="1:4" ht="18.75" customHeight="1">
      <c r="A95" s="112" t="s">
        <v>39</v>
      </c>
      <c r="D95" s="32">
        <f>SUM(D91:D94)</f>
        <v>3229860</v>
      </c>
    </row>
    <row r="96" spans="2:4" ht="18.75" customHeight="1">
      <c r="B96" s="9"/>
      <c r="C96" s="9"/>
      <c r="D96" s="9"/>
    </row>
    <row r="97" spans="2:4" ht="18.75" customHeight="1">
      <c r="B97" s="9"/>
      <c r="C97" s="9"/>
      <c r="D97" s="9"/>
    </row>
    <row r="98" spans="2:4" ht="18.75" customHeight="1">
      <c r="B98" s="9"/>
      <c r="C98" s="9"/>
      <c r="D98" s="9"/>
    </row>
    <row r="99" spans="2:4" ht="18.75" customHeight="1">
      <c r="B99" s="9"/>
      <c r="C99" s="9"/>
      <c r="D99" s="9"/>
    </row>
    <row r="100" spans="2:4" ht="18.75" customHeight="1">
      <c r="B100" s="9"/>
      <c r="C100" s="9"/>
      <c r="D100" s="9"/>
    </row>
    <row r="101" spans="2:4" ht="18.75" customHeight="1">
      <c r="B101" s="9"/>
      <c r="C101" s="9"/>
      <c r="D101" s="9"/>
    </row>
    <row r="102" spans="2:4" ht="18.75" customHeight="1">
      <c r="B102" s="9"/>
      <c r="C102" s="9"/>
      <c r="D102" s="9"/>
    </row>
    <row r="103" spans="2:4" ht="18.75" customHeight="1">
      <c r="B103" s="9"/>
      <c r="C103" s="9"/>
      <c r="D103" s="9"/>
    </row>
    <row r="104" spans="2:4" ht="18.75" customHeight="1">
      <c r="B104" s="9"/>
      <c r="C104" s="9"/>
      <c r="D104" s="9"/>
    </row>
    <row r="105" spans="2:4" ht="18.75" customHeight="1">
      <c r="B105" s="9"/>
      <c r="C105" s="9"/>
      <c r="D105" s="9"/>
    </row>
    <row r="106" spans="2:4" ht="18.75" customHeight="1">
      <c r="B106" s="9"/>
      <c r="C106" s="9"/>
      <c r="D106" s="9"/>
    </row>
    <row r="107" spans="2:4" ht="18.75" customHeight="1">
      <c r="B107" s="9"/>
      <c r="C107" s="9"/>
      <c r="D107" s="9"/>
    </row>
    <row r="108" spans="2:4" ht="18.75" customHeight="1">
      <c r="B108" s="9"/>
      <c r="C108" s="9"/>
      <c r="D108" s="9"/>
    </row>
    <row r="109" spans="2:4" ht="18.75" customHeight="1">
      <c r="B109" s="9"/>
      <c r="C109" s="9"/>
      <c r="D109" s="9"/>
    </row>
    <row r="110" spans="2:4" ht="18.75" customHeight="1">
      <c r="B110" s="9"/>
      <c r="C110" s="9"/>
      <c r="D110" s="9"/>
    </row>
    <row r="111" spans="2:4" ht="18.75" customHeight="1">
      <c r="B111" s="9"/>
      <c r="C111" s="9"/>
      <c r="D111" s="9"/>
    </row>
    <row r="112" spans="2:4" ht="18.75" customHeight="1">
      <c r="B112" s="9"/>
      <c r="C112" s="9"/>
      <c r="D112" s="9"/>
    </row>
    <row r="113" spans="2:4" ht="18.75" customHeight="1">
      <c r="B113" s="9"/>
      <c r="C113" s="9"/>
      <c r="D113" s="9"/>
    </row>
    <row r="114" spans="2:4" ht="18.75" customHeight="1">
      <c r="B114" s="9"/>
      <c r="C114" s="9"/>
      <c r="D114" s="9"/>
    </row>
    <row r="115" spans="2:4" ht="18.75" customHeight="1">
      <c r="B115" s="9"/>
      <c r="C115" s="9"/>
      <c r="D115" s="9"/>
    </row>
    <row r="116" spans="2:4" ht="18.75" customHeight="1">
      <c r="B116" s="9"/>
      <c r="C116" s="9"/>
      <c r="D116" s="9"/>
    </row>
    <row r="117" spans="2:4" ht="18.75" customHeight="1">
      <c r="B117" s="9"/>
      <c r="C117" s="9"/>
      <c r="D117" s="9"/>
    </row>
    <row r="118" spans="2:4" ht="18.75" customHeight="1">
      <c r="B118" s="9"/>
      <c r="C118" s="9"/>
      <c r="D118" s="9"/>
    </row>
    <row r="119" spans="2:4" ht="18.75" customHeight="1">
      <c r="B119" s="9"/>
      <c r="C119" s="9"/>
      <c r="D119" s="9"/>
    </row>
    <row r="120" spans="2:4" ht="18.75" customHeight="1">
      <c r="B120" s="9"/>
      <c r="C120" s="9"/>
      <c r="D120" s="9"/>
    </row>
    <row r="121" spans="2:4" ht="18.75" customHeight="1">
      <c r="B121" s="9"/>
      <c r="C121" s="9"/>
      <c r="D121" s="9"/>
    </row>
    <row r="122" spans="2:4" ht="18.75" customHeight="1">
      <c r="B122" s="9"/>
      <c r="C122" s="9"/>
      <c r="D122" s="9"/>
    </row>
    <row r="123" spans="2:4" ht="18.75" customHeight="1">
      <c r="B123" s="9"/>
      <c r="C123" s="9"/>
      <c r="D123" s="9"/>
    </row>
    <row r="124" spans="2:4" ht="18.75" customHeight="1">
      <c r="B124" s="9"/>
      <c r="C124" s="9"/>
      <c r="D124" s="9"/>
    </row>
    <row r="125" spans="2:4" ht="18.75" customHeight="1">
      <c r="B125" s="9"/>
      <c r="C125" s="9"/>
      <c r="D125" s="9"/>
    </row>
    <row r="126" spans="2:4" ht="18.75" customHeight="1">
      <c r="B126" s="9"/>
      <c r="C126" s="9"/>
      <c r="D126" s="9"/>
    </row>
    <row r="127" spans="2:4" ht="18.75" customHeight="1">
      <c r="B127" s="9"/>
      <c r="C127" s="9"/>
      <c r="D127" s="9"/>
    </row>
    <row r="128" spans="2:4" ht="18.75" customHeight="1">
      <c r="B128" s="9"/>
      <c r="C128" s="9"/>
      <c r="D128" s="9"/>
    </row>
    <row r="129" spans="2:4" ht="18.75" customHeight="1">
      <c r="B129" s="9"/>
      <c r="C129" s="9"/>
      <c r="D129" s="9"/>
    </row>
    <row r="130" spans="2:4" ht="18.75" customHeight="1">
      <c r="B130" s="9"/>
      <c r="C130" s="9"/>
      <c r="D130" s="9"/>
    </row>
    <row r="131" spans="2:4" ht="18.75" customHeight="1">
      <c r="B131" s="9"/>
      <c r="C131" s="9"/>
      <c r="D131" s="9"/>
    </row>
    <row r="132" spans="2:4" ht="18.75" customHeight="1">
      <c r="B132" s="9"/>
      <c r="C132" s="9"/>
      <c r="D132" s="9"/>
    </row>
    <row r="133" spans="2:4" ht="18.75" customHeight="1">
      <c r="B133" s="9"/>
      <c r="C133" s="9"/>
      <c r="D133" s="9"/>
    </row>
    <row r="134" spans="2:4" ht="18.75" customHeight="1">
      <c r="B134" s="9"/>
      <c r="C134" s="9"/>
      <c r="D134" s="9"/>
    </row>
    <row r="135" spans="2:4" ht="18.75" customHeight="1">
      <c r="B135" s="9"/>
      <c r="C135" s="9"/>
      <c r="D135" s="9"/>
    </row>
    <row r="136" spans="2:4" ht="18.75" customHeight="1">
      <c r="B136" s="9"/>
      <c r="C136" s="9"/>
      <c r="D136" s="9"/>
    </row>
    <row r="137" spans="2:4" ht="18.75" customHeight="1">
      <c r="B137" s="9"/>
      <c r="C137" s="9"/>
      <c r="D137" s="9"/>
    </row>
    <row r="138" spans="2:4" ht="18.75" customHeight="1">
      <c r="B138" s="9"/>
      <c r="C138" s="9"/>
      <c r="D138" s="9"/>
    </row>
    <row r="139" spans="2:4" ht="18.75" customHeight="1">
      <c r="B139" s="9"/>
      <c r="C139" s="9"/>
      <c r="D139" s="9"/>
    </row>
    <row r="140" spans="2:4" ht="18.75" customHeight="1">
      <c r="B140" s="9"/>
      <c r="C140" s="9"/>
      <c r="D140" s="9"/>
    </row>
    <row r="141" spans="2:4" ht="18.75" customHeight="1">
      <c r="B141" s="9"/>
      <c r="C141" s="9"/>
      <c r="D141" s="9"/>
    </row>
    <row r="142" spans="2:4" ht="18.75" customHeight="1">
      <c r="B142" s="9"/>
      <c r="C142" s="9"/>
      <c r="D142" s="9"/>
    </row>
    <row r="143" spans="2:4" ht="18.75" customHeight="1">
      <c r="B143" s="9"/>
      <c r="C143" s="9"/>
      <c r="D143" s="9"/>
    </row>
    <row r="144" spans="2:4" ht="18.75" customHeight="1">
      <c r="B144" s="9"/>
      <c r="C144" s="9"/>
      <c r="D144" s="9"/>
    </row>
    <row r="145" spans="2:4" ht="18.75" customHeight="1">
      <c r="B145" s="9"/>
      <c r="C145" s="9"/>
      <c r="D145" s="9"/>
    </row>
    <row r="146" spans="2:4" ht="18.75" customHeight="1">
      <c r="B146" s="9"/>
      <c r="C146" s="9"/>
      <c r="D146" s="9"/>
    </row>
    <row r="147" spans="2:4" ht="18.75" customHeight="1">
      <c r="B147" s="9"/>
      <c r="C147" s="9"/>
      <c r="D147" s="9"/>
    </row>
    <row r="148" spans="2:4" ht="18.75" customHeight="1">
      <c r="B148" s="9"/>
      <c r="C148" s="9"/>
      <c r="D148" s="9"/>
    </row>
    <row r="149" spans="2:4" ht="18.75" customHeight="1">
      <c r="B149" s="9"/>
      <c r="C149" s="9"/>
      <c r="D149" s="9"/>
    </row>
    <row r="150" spans="2:4" ht="18.75" customHeight="1">
      <c r="B150" s="9"/>
      <c r="C150" s="9"/>
      <c r="D150" s="9"/>
    </row>
    <row r="151" spans="2:4" ht="18.75" customHeight="1">
      <c r="B151" s="9"/>
      <c r="C151" s="9"/>
      <c r="D151" s="9"/>
    </row>
    <row r="152" spans="2:4" ht="18.75" customHeight="1">
      <c r="B152" s="9"/>
      <c r="C152" s="9"/>
      <c r="D152" s="9"/>
    </row>
    <row r="153" spans="2:4" ht="18.75" customHeight="1">
      <c r="B153" s="9"/>
      <c r="C153" s="9"/>
      <c r="D153" s="9"/>
    </row>
    <row r="154" spans="2:4" ht="18.75" customHeight="1">
      <c r="B154" s="9"/>
      <c r="C154" s="9"/>
      <c r="D154" s="9"/>
    </row>
    <row r="155" spans="2:4" ht="18.75" customHeight="1">
      <c r="B155" s="9"/>
      <c r="C155" s="9"/>
      <c r="D155" s="9"/>
    </row>
    <row r="156" spans="2:4" ht="18.75" customHeight="1">
      <c r="B156" s="9"/>
      <c r="C156" s="9"/>
      <c r="D156" s="9"/>
    </row>
    <row r="157" spans="2:4" ht="18.75" customHeight="1">
      <c r="B157" s="9"/>
      <c r="C157" s="9"/>
      <c r="D157" s="9"/>
    </row>
    <row r="158" spans="2:4" ht="18.75" customHeight="1">
      <c r="B158" s="9"/>
      <c r="C158" s="9"/>
      <c r="D158" s="9"/>
    </row>
    <row r="159" spans="2:4" ht="18.75" customHeight="1">
      <c r="B159" s="9"/>
      <c r="C159" s="9"/>
      <c r="D159" s="9"/>
    </row>
    <row r="160" spans="2:4" ht="18.75" customHeight="1">
      <c r="B160" s="9"/>
      <c r="C160" s="9"/>
      <c r="D160" s="9"/>
    </row>
    <row r="161" spans="2:4" ht="18.75" customHeight="1">
      <c r="B161" s="9"/>
      <c r="C161" s="9"/>
      <c r="D161" s="9"/>
    </row>
    <row r="162" spans="2:4" ht="18.75" customHeight="1">
      <c r="B162" s="9"/>
      <c r="C162" s="9"/>
      <c r="D162" s="9"/>
    </row>
    <row r="163" spans="2:4" ht="18.75" customHeight="1">
      <c r="B163" s="9"/>
      <c r="C163" s="9"/>
      <c r="D163" s="9"/>
    </row>
    <row r="164" spans="2:4" ht="18.75" customHeight="1">
      <c r="B164" s="9"/>
      <c r="C164" s="9"/>
      <c r="D164" s="9"/>
    </row>
    <row r="165" spans="2:4" ht="18.75" customHeight="1">
      <c r="B165" s="9"/>
      <c r="C165" s="9"/>
      <c r="D165" s="9"/>
    </row>
    <row r="166" spans="2:4" ht="18.75" customHeight="1">
      <c r="B166" s="9"/>
      <c r="C166" s="9"/>
      <c r="D166" s="9"/>
    </row>
    <row r="167" spans="2:4" ht="18.75" customHeight="1">
      <c r="B167" s="9"/>
      <c r="C167" s="9"/>
      <c r="D167" s="9"/>
    </row>
    <row r="168" spans="2:4" ht="18.75" customHeight="1">
      <c r="B168" s="9"/>
      <c r="C168" s="9"/>
      <c r="D168" s="9"/>
    </row>
    <row r="169" spans="2:4" ht="18.75" customHeight="1">
      <c r="B169" s="9"/>
      <c r="C169" s="9"/>
      <c r="D169" s="9"/>
    </row>
    <row r="170" spans="2:4" ht="18.75" customHeight="1">
      <c r="B170" s="9"/>
      <c r="C170" s="9"/>
      <c r="D170" s="9"/>
    </row>
    <row r="171" spans="2:4" ht="18.75" customHeight="1">
      <c r="B171" s="9"/>
      <c r="C171" s="9"/>
      <c r="D171" s="9"/>
    </row>
    <row r="172" spans="2:4" ht="18.75" customHeight="1">
      <c r="B172" s="9"/>
      <c r="C172" s="9"/>
      <c r="D172" s="9"/>
    </row>
    <row r="173" spans="2:4" ht="18.75" customHeight="1">
      <c r="B173" s="9"/>
      <c r="C173" s="9"/>
      <c r="D173" s="9"/>
    </row>
    <row r="174" spans="2:4" ht="18.75" customHeight="1">
      <c r="B174" s="9"/>
      <c r="C174" s="9"/>
      <c r="D174" s="9"/>
    </row>
    <row r="175" spans="2:4" ht="18.75" customHeight="1">
      <c r="B175" s="9"/>
      <c r="C175" s="9"/>
      <c r="D175" s="9"/>
    </row>
    <row r="176" spans="2:4" ht="18.75" customHeight="1">
      <c r="B176" s="9"/>
      <c r="C176" s="9"/>
      <c r="D176" s="9"/>
    </row>
    <row r="177" spans="2:4" ht="18.75" customHeight="1">
      <c r="B177" s="9"/>
      <c r="C177" s="9"/>
      <c r="D177" s="9"/>
    </row>
    <row r="178" spans="2:4" ht="18.75" customHeight="1">
      <c r="B178" s="9"/>
      <c r="C178" s="9"/>
      <c r="D178" s="9"/>
    </row>
    <row r="179" spans="2:4" ht="18.75" customHeight="1">
      <c r="B179" s="9"/>
      <c r="C179" s="9"/>
      <c r="D179" s="9"/>
    </row>
    <row r="180" spans="2:4" ht="18.75" customHeight="1">
      <c r="B180" s="9"/>
      <c r="C180" s="9"/>
      <c r="D180" s="9"/>
    </row>
    <row r="181" spans="2:4" ht="18.75" customHeight="1">
      <c r="B181" s="9"/>
      <c r="C181" s="9"/>
      <c r="D181" s="9"/>
    </row>
    <row r="182" spans="2:4" ht="18.75" customHeight="1">
      <c r="B182" s="9"/>
      <c r="C182" s="9"/>
      <c r="D182" s="9"/>
    </row>
    <row r="183" spans="2:4" ht="18.75" customHeight="1">
      <c r="B183" s="9"/>
      <c r="C183" s="9"/>
      <c r="D183" s="9"/>
    </row>
    <row r="184" spans="2:4" ht="18.75" customHeight="1">
      <c r="B184" s="9"/>
      <c r="C184" s="9"/>
      <c r="D184" s="9"/>
    </row>
    <row r="185" spans="2:4" ht="18.75" customHeight="1">
      <c r="B185" s="9"/>
      <c r="C185" s="9"/>
      <c r="D185" s="9"/>
    </row>
    <row r="186" spans="2:4" ht="18.75" customHeight="1">
      <c r="B186" s="9"/>
      <c r="C186" s="9"/>
      <c r="D186" s="9"/>
    </row>
    <row r="187" spans="2:4" ht="18.75" customHeight="1">
      <c r="B187" s="9"/>
      <c r="C187" s="9"/>
      <c r="D187" s="9"/>
    </row>
    <row r="188" spans="2:4" ht="18.75" customHeight="1">
      <c r="B188" s="9"/>
      <c r="C188" s="9"/>
      <c r="D188" s="9"/>
    </row>
    <row r="189" spans="2:4" ht="18.75" customHeight="1">
      <c r="B189" s="9"/>
      <c r="C189" s="9"/>
      <c r="D189" s="9"/>
    </row>
    <row r="190" spans="2:4" ht="18.75" customHeight="1">
      <c r="B190" s="9"/>
      <c r="C190" s="9"/>
      <c r="D190" s="9"/>
    </row>
    <row r="191" spans="2:4" ht="18.75" customHeight="1">
      <c r="B191" s="9"/>
      <c r="C191" s="9"/>
      <c r="D191" s="9"/>
    </row>
    <row r="192" spans="2:4" ht="18.75" customHeight="1">
      <c r="B192" s="9"/>
      <c r="C192" s="9"/>
      <c r="D192" s="9"/>
    </row>
    <row r="193" spans="2:4" ht="18.75" customHeight="1">
      <c r="B193" s="9"/>
      <c r="C193" s="9"/>
      <c r="D193" s="9"/>
    </row>
    <row r="194" spans="2:4" ht="18.75" customHeight="1">
      <c r="B194" s="9"/>
      <c r="C194" s="9"/>
      <c r="D194" s="9"/>
    </row>
    <row r="195" spans="2:4" ht="18.75" customHeight="1">
      <c r="B195" s="9"/>
      <c r="C195" s="9"/>
      <c r="D195" s="9"/>
    </row>
    <row r="196" spans="2:4" ht="18.75" customHeight="1">
      <c r="B196" s="9"/>
      <c r="C196" s="9"/>
      <c r="D196" s="9"/>
    </row>
    <row r="197" spans="2:4" ht="18.75" customHeight="1">
      <c r="B197" s="9"/>
      <c r="C197" s="9"/>
      <c r="D197" s="9"/>
    </row>
    <row r="198" spans="2:4" ht="18.75" customHeight="1">
      <c r="B198" s="9"/>
      <c r="C198" s="9"/>
      <c r="D198" s="9"/>
    </row>
    <row r="199" spans="2:4" ht="18.75" customHeight="1">
      <c r="B199" s="9"/>
      <c r="C199" s="9"/>
      <c r="D199" s="9"/>
    </row>
    <row r="200" spans="2:4" ht="18.75" customHeight="1">
      <c r="B200" s="9"/>
      <c r="C200" s="9"/>
      <c r="D200" s="9"/>
    </row>
    <row r="201" spans="2:4" ht="18.75" customHeight="1">
      <c r="B201" s="9"/>
      <c r="C201" s="9"/>
      <c r="D201" s="9"/>
    </row>
    <row r="202" spans="2:4" ht="18.75" customHeight="1">
      <c r="B202" s="9"/>
      <c r="C202" s="9"/>
      <c r="D202" s="9"/>
    </row>
    <row r="203" spans="2:4" ht="18.75" customHeight="1">
      <c r="B203" s="9"/>
      <c r="C203" s="9"/>
      <c r="D203" s="9"/>
    </row>
    <row r="204" spans="2:4" ht="18.75" customHeight="1">
      <c r="B204" s="9"/>
      <c r="C204" s="9"/>
      <c r="D204" s="9"/>
    </row>
    <row r="205" spans="2:4" ht="18.75" customHeight="1">
      <c r="B205" s="9"/>
      <c r="C205" s="9"/>
      <c r="D205" s="9"/>
    </row>
    <row r="206" spans="2:4" ht="18.75" customHeight="1">
      <c r="B206" s="9"/>
      <c r="C206" s="9"/>
      <c r="D206" s="9"/>
    </row>
    <row r="207" spans="2:4" ht="18.75" customHeight="1">
      <c r="B207" s="9"/>
      <c r="C207" s="9"/>
      <c r="D207" s="9"/>
    </row>
    <row r="208" spans="2:4" ht="18.75" customHeight="1">
      <c r="B208" s="9"/>
      <c r="C208" s="9"/>
      <c r="D208" s="9"/>
    </row>
    <row r="209" spans="2:4" ht="18.75" customHeight="1">
      <c r="B209" s="9"/>
      <c r="C209" s="9"/>
      <c r="D209" s="9"/>
    </row>
    <row r="210" spans="2:4" ht="18.75" customHeight="1">
      <c r="B210" s="9"/>
      <c r="C210" s="9"/>
      <c r="D210" s="9"/>
    </row>
    <row r="211" spans="2:4" ht="18.75" customHeight="1">
      <c r="B211" s="9"/>
      <c r="C211" s="9"/>
      <c r="D211" s="9"/>
    </row>
    <row r="212" spans="2:4" ht="18.75" customHeight="1">
      <c r="B212" s="9"/>
      <c r="C212" s="9"/>
      <c r="D212" s="9"/>
    </row>
    <row r="213" spans="2:4" ht="18.75" customHeight="1">
      <c r="B213" s="9"/>
      <c r="C213" s="9"/>
      <c r="D213" s="9"/>
    </row>
    <row r="214" spans="2:4" ht="18.75" customHeight="1">
      <c r="B214" s="9"/>
      <c r="C214" s="9"/>
      <c r="D214" s="9"/>
    </row>
    <row r="215" spans="2:4" ht="18.75" customHeight="1">
      <c r="B215" s="9"/>
      <c r="C215" s="9"/>
      <c r="D215" s="9"/>
    </row>
    <row r="216" spans="2:4" ht="18.75" customHeight="1">
      <c r="B216" s="9"/>
      <c r="C216" s="9"/>
      <c r="D216" s="9"/>
    </row>
    <row r="217" spans="2:4" ht="18.75" customHeight="1">
      <c r="B217" s="9"/>
      <c r="C217" s="9"/>
      <c r="D217" s="9"/>
    </row>
    <row r="218" spans="2:4" ht="18.75" customHeight="1">
      <c r="B218" s="9"/>
      <c r="C218" s="9"/>
      <c r="D218" s="9"/>
    </row>
    <row r="219" spans="2:4" ht="18.75" customHeight="1">
      <c r="B219" s="9"/>
      <c r="C219" s="9"/>
      <c r="D219" s="9"/>
    </row>
    <row r="220" spans="2:4" ht="18.75" customHeight="1">
      <c r="B220" s="9"/>
      <c r="C220" s="9"/>
      <c r="D220" s="9"/>
    </row>
    <row r="221" spans="2:4" ht="18.75" customHeight="1">
      <c r="B221" s="9"/>
      <c r="C221" s="9"/>
      <c r="D221" s="9"/>
    </row>
    <row r="222" spans="2:4" ht="18.75" customHeight="1">
      <c r="B222" s="9"/>
      <c r="C222" s="9"/>
      <c r="D222" s="9"/>
    </row>
    <row r="223" spans="2:4" ht="18.75" customHeight="1">
      <c r="B223" s="9"/>
      <c r="C223" s="9"/>
      <c r="D223" s="9"/>
    </row>
    <row r="224" spans="2:4" ht="18.75" customHeight="1">
      <c r="B224" s="9"/>
      <c r="C224" s="9"/>
      <c r="D224" s="9"/>
    </row>
    <row r="225" spans="2:4" ht="18.75" customHeight="1">
      <c r="B225" s="9"/>
      <c r="C225" s="9"/>
      <c r="D225" s="9"/>
    </row>
    <row r="226" spans="2:4" ht="18.75" customHeight="1">
      <c r="B226" s="9"/>
      <c r="C226" s="9"/>
      <c r="D226" s="9"/>
    </row>
    <row r="227" spans="2:4" ht="18.75" customHeight="1">
      <c r="B227" s="9"/>
      <c r="C227" s="9"/>
      <c r="D227" s="9"/>
    </row>
    <row r="228" spans="2:4" ht="18.75" customHeight="1">
      <c r="B228" s="9"/>
      <c r="C228" s="9"/>
      <c r="D228" s="9"/>
    </row>
    <row r="229" spans="2:4" ht="18.75" customHeight="1">
      <c r="B229" s="9"/>
      <c r="C229" s="9"/>
      <c r="D229" s="9"/>
    </row>
    <row r="230" spans="2:4" ht="18.75" customHeight="1">
      <c r="B230" s="9"/>
      <c r="C230" s="9"/>
      <c r="D230" s="9"/>
    </row>
    <row r="231" spans="2:4" ht="18.75" customHeight="1">
      <c r="B231" s="9"/>
      <c r="C231" s="9"/>
      <c r="D231" s="9"/>
    </row>
    <row r="232" spans="2:4" ht="18.75" customHeight="1">
      <c r="B232" s="9"/>
      <c r="C232" s="9"/>
      <c r="D232" s="9"/>
    </row>
    <row r="233" spans="2:4" ht="18.75" customHeight="1">
      <c r="B233" s="9"/>
      <c r="C233" s="9"/>
      <c r="D233" s="9"/>
    </row>
    <row r="234" spans="2:4" ht="18.75" customHeight="1">
      <c r="B234" s="9"/>
      <c r="C234" s="9"/>
      <c r="D234" s="9"/>
    </row>
    <row r="235" spans="2:4" ht="18.75" customHeight="1">
      <c r="B235" s="9"/>
      <c r="C235" s="9"/>
      <c r="D235" s="9"/>
    </row>
    <row r="236" spans="2:4" ht="18.75" customHeight="1">
      <c r="B236" s="9"/>
      <c r="C236" s="9"/>
      <c r="D236" s="9"/>
    </row>
    <row r="237" spans="2:4" ht="18.75" customHeight="1">
      <c r="B237" s="9"/>
      <c r="C237" s="9"/>
      <c r="D237" s="9"/>
    </row>
    <row r="238" spans="2:4" ht="18.75" customHeight="1">
      <c r="B238" s="9"/>
      <c r="C238" s="9"/>
      <c r="D238" s="9"/>
    </row>
    <row r="239" spans="2:4" ht="18.75" customHeight="1">
      <c r="B239" s="9"/>
      <c r="C239" s="9"/>
      <c r="D239" s="9"/>
    </row>
    <row r="240" spans="2:4" ht="18.75" customHeight="1">
      <c r="B240" s="9"/>
      <c r="C240" s="9"/>
      <c r="D240" s="9"/>
    </row>
    <row r="241" spans="2:4" ht="18.75" customHeight="1">
      <c r="B241" s="9"/>
      <c r="C241" s="9"/>
      <c r="D241" s="9"/>
    </row>
    <row r="242" spans="2:4" ht="18.75" customHeight="1">
      <c r="B242" s="9"/>
      <c r="C242" s="9"/>
      <c r="D242" s="9"/>
    </row>
    <row r="243" spans="2:4" ht="18.75" customHeight="1">
      <c r="B243" s="9"/>
      <c r="C243" s="9"/>
      <c r="D243" s="9"/>
    </row>
    <row r="244" spans="2:4" ht="18.75" customHeight="1">
      <c r="B244" s="9"/>
      <c r="C244" s="9"/>
      <c r="D244" s="9"/>
    </row>
    <row r="245" spans="2:4" ht="18.75" customHeight="1">
      <c r="B245" s="9"/>
      <c r="C245" s="9"/>
      <c r="D245" s="9"/>
    </row>
    <row r="246" spans="2:4" ht="18.75" customHeight="1">
      <c r="B246" s="9"/>
      <c r="C246" s="9"/>
      <c r="D246" s="9"/>
    </row>
    <row r="247" spans="2:4" ht="18.75" customHeight="1">
      <c r="B247" s="9"/>
      <c r="C247" s="9"/>
      <c r="D247" s="9"/>
    </row>
    <row r="248" spans="2:4" ht="18.75" customHeight="1">
      <c r="B248" s="9"/>
      <c r="C248" s="9"/>
      <c r="D248" s="9"/>
    </row>
    <row r="249" spans="2:4" ht="18.75" customHeight="1">
      <c r="B249" s="9"/>
      <c r="C249" s="9"/>
      <c r="D249" s="9"/>
    </row>
    <row r="250" spans="2:4" ht="18.75" customHeight="1">
      <c r="B250" s="9"/>
      <c r="C250" s="9"/>
      <c r="D250" s="9"/>
    </row>
    <row r="251" spans="2:4" ht="18.75" customHeight="1">
      <c r="B251" s="9"/>
      <c r="C251" s="9"/>
      <c r="D251" s="9"/>
    </row>
    <row r="252" spans="2:4" ht="18.75" customHeight="1">
      <c r="B252" s="9"/>
      <c r="C252" s="9"/>
      <c r="D252" s="9"/>
    </row>
    <row r="253" spans="2:4" ht="18.75" customHeight="1">
      <c r="B253" s="9"/>
      <c r="C253" s="9"/>
      <c r="D253" s="9"/>
    </row>
    <row r="254" spans="2:4" ht="18.75" customHeight="1">
      <c r="B254" s="9"/>
      <c r="C254" s="9"/>
      <c r="D254" s="9"/>
    </row>
    <row r="255" spans="2:4" ht="18.75" customHeight="1">
      <c r="B255" s="9"/>
      <c r="C255" s="9"/>
      <c r="D255" s="9"/>
    </row>
    <row r="256" spans="2:4" ht="18.75" customHeight="1">
      <c r="B256" s="9"/>
      <c r="C256" s="9"/>
      <c r="D256" s="9"/>
    </row>
    <row r="257" spans="2:4" ht="18.75" customHeight="1">
      <c r="B257" s="9"/>
      <c r="C257" s="9"/>
      <c r="D257" s="9"/>
    </row>
    <row r="258" spans="2:4" ht="18.75" customHeight="1">
      <c r="B258" s="9"/>
      <c r="C258" s="9"/>
      <c r="D258" s="9"/>
    </row>
    <row r="259" spans="2:4" ht="18.75" customHeight="1">
      <c r="B259" s="9"/>
      <c r="C259" s="9"/>
      <c r="D259" s="9"/>
    </row>
    <row r="260" spans="2:4" ht="18.75" customHeight="1">
      <c r="B260" s="9"/>
      <c r="C260" s="9"/>
      <c r="D260" s="9"/>
    </row>
    <row r="261" spans="2:4" ht="18.75" customHeight="1">
      <c r="B261" s="9"/>
      <c r="C261" s="9"/>
      <c r="D261" s="9"/>
    </row>
    <row r="262" spans="2:4" ht="18.75" customHeight="1">
      <c r="B262" s="9"/>
      <c r="C262" s="9"/>
      <c r="D262" s="9"/>
    </row>
    <row r="263" spans="2:4" ht="18.75" customHeight="1">
      <c r="B263" s="9"/>
      <c r="C263" s="9"/>
      <c r="D263" s="9"/>
    </row>
    <row r="264" spans="2:4" ht="18.75" customHeight="1">
      <c r="B264" s="9"/>
      <c r="C264" s="9"/>
      <c r="D264" s="9"/>
    </row>
    <row r="265" spans="2:4" ht="18.75" customHeight="1">
      <c r="B265" s="9"/>
      <c r="C265" s="9"/>
      <c r="D265" s="9"/>
    </row>
    <row r="266" spans="2:4" ht="18.75" customHeight="1">
      <c r="B266" s="9"/>
      <c r="C266" s="9"/>
      <c r="D266" s="9"/>
    </row>
    <row r="267" spans="2:4" ht="18.75" customHeight="1">
      <c r="B267" s="9"/>
      <c r="C267" s="9"/>
      <c r="D267" s="9"/>
    </row>
    <row r="268" spans="2:4" ht="18.75" customHeight="1">
      <c r="B268" s="9"/>
      <c r="C268" s="9"/>
      <c r="D268" s="9"/>
    </row>
    <row r="269" spans="2:4" ht="18.75" customHeight="1">
      <c r="B269" s="9"/>
      <c r="C269" s="9"/>
      <c r="D269" s="9"/>
    </row>
    <row r="270" spans="2:4" ht="18.75" customHeight="1">
      <c r="B270" s="9"/>
      <c r="C270" s="9"/>
      <c r="D270" s="9"/>
    </row>
    <row r="271" spans="2:4" ht="18.75" customHeight="1">
      <c r="B271" s="9"/>
      <c r="C271" s="9"/>
      <c r="D271" s="9"/>
    </row>
    <row r="272" spans="2:4" ht="18.75" customHeight="1">
      <c r="B272" s="9"/>
      <c r="C272" s="9"/>
      <c r="D272" s="9"/>
    </row>
    <row r="273" spans="2:4" ht="18.75" customHeight="1">
      <c r="B273" s="9"/>
      <c r="C273" s="9"/>
      <c r="D273" s="9"/>
    </row>
    <row r="274" spans="2:4" ht="18.75" customHeight="1">
      <c r="B274" s="9"/>
      <c r="C274" s="9"/>
      <c r="D274" s="9"/>
    </row>
    <row r="275" spans="2:4" ht="18.75" customHeight="1">
      <c r="B275" s="9"/>
      <c r="C275" s="9"/>
      <c r="D275" s="9"/>
    </row>
    <row r="276" spans="2:4" ht="18.75" customHeight="1">
      <c r="B276" s="9"/>
      <c r="C276" s="9"/>
      <c r="D276" s="9"/>
    </row>
    <row r="277" spans="2:4" ht="18.75" customHeight="1">
      <c r="B277" s="9"/>
      <c r="C277" s="9"/>
      <c r="D277" s="9"/>
    </row>
    <row r="278" spans="2:4" ht="18.75" customHeight="1">
      <c r="B278" s="9"/>
      <c r="C278" s="9"/>
      <c r="D278" s="9"/>
    </row>
    <row r="279" spans="2:4" ht="18.75" customHeight="1">
      <c r="B279" s="9"/>
      <c r="C279" s="9"/>
      <c r="D279" s="9"/>
    </row>
    <row r="280" spans="2:4" ht="18.75" customHeight="1">
      <c r="B280" s="9"/>
      <c r="C280" s="9"/>
      <c r="D280" s="9"/>
    </row>
    <row r="281" spans="2:4" ht="18.75" customHeight="1">
      <c r="B281" s="9"/>
      <c r="C281" s="9"/>
      <c r="D281" s="9"/>
    </row>
    <row r="282" spans="2:4" ht="18.75" customHeight="1">
      <c r="B282" s="9"/>
      <c r="C282" s="9"/>
      <c r="D282" s="9"/>
    </row>
    <row r="283" spans="2:4" ht="18.75" customHeight="1">
      <c r="B283" s="9"/>
      <c r="C283" s="9"/>
      <c r="D283" s="9"/>
    </row>
    <row r="284" spans="2:4" ht="18.75" customHeight="1">
      <c r="B284" s="9"/>
      <c r="C284" s="9"/>
      <c r="D284" s="9"/>
    </row>
    <row r="285" spans="2:4" ht="18.75" customHeight="1">
      <c r="B285" s="9"/>
      <c r="C285" s="9"/>
      <c r="D285" s="9"/>
    </row>
    <row r="286" spans="2:4" ht="18.75" customHeight="1">
      <c r="B286" s="9"/>
      <c r="C286" s="9"/>
      <c r="D286" s="9"/>
    </row>
    <row r="287" spans="2:4" ht="18.75" customHeight="1">
      <c r="B287" s="9"/>
      <c r="C287" s="9"/>
      <c r="D287" s="9"/>
    </row>
    <row r="288" spans="2:4" ht="18.75" customHeight="1">
      <c r="B288" s="9"/>
      <c r="C288" s="9"/>
      <c r="D288" s="9"/>
    </row>
    <row r="289" spans="2:4" ht="18.75" customHeight="1">
      <c r="B289" s="9"/>
      <c r="C289" s="9"/>
      <c r="D289" s="9"/>
    </row>
    <row r="290" spans="2:4" ht="18.75" customHeight="1">
      <c r="B290" s="9"/>
      <c r="C290" s="9"/>
      <c r="D290" s="9"/>
    </row>
    <row r="291" spans="2:4" ht="18.75" customHeight="1">
      <c r="B291" s="9"/>
      <c r="C291" s="9"/>
      <c r="D291" s="9"/>
    </row>
    <row r="292" spans="2:4" ht="18.75" customHeight="1">
      <c r="B292" s="9"/>
      <c r="C292" s="9"/>
      <c r="D292" s="9"/>
    </row>
    <row r="293" spans="2:4" ht="18.75" customHeight="1">
      <c r="B293" s="9"/>
      <c r="C293" s="9"/>
      <c r="D293" s="9"/>
    </row>
    <row r="294" spans="2:4" ht="18.75" customHeight="1">
      <c r="B294" s="9"/>
      <c r="C294" s="9"/>
      <c r="D294" s="9"/>
    </row>
    <row r="295" spans="2:4" ht="18.75" customHeight="1">
      <c r="B295" s="9"/>
      <c r="C295" s="9"/>
      <c r="D295" s="9"/>
    </row>
    <row r="296" spans="2:4" ht="18.75" customHeight="1">
      <c r="B296" s="9"/>
      <c r="C296" s="9"/>
      <c r="D296" s="9"/>
    </row>
    <row r="297" spans="2:4" ht="18.75" customHeight="1">
      <c r="B297" s="9"/>
      <c r="C297" s="9"/>
      <c r="D297" s="9"/>
    </row>
    <row r="298" spans="2:4" ht="18.75" customHeight="1">
      <c r="B298" s="9"/>
      <c r="C298" s="9"/>
      <c r="D298" s="9"/>
    </row>
    <row r="299" spans="2:4" ht="18.75" customHeight="1">
      <c r="B299" s="9"/>
      <c r="C299" s="9"/>
      <c r="D299" s="9"/>
    </row>
    <row r="300" spans="2:4" ht="18.75" customHeight="1">
      <c r="B300" s="9"/>
      <c r="C300" s="9"/>
      <c r="D300" s="9"/>
    </row>
    <row r="301" spans="2:4" ht="18.75" customHeight="1">
      <c r="B301" s="9"/>
      <c r="C301" s="9"/>
      <c r="D301" s="9"/>
    </row>
    <row r="302" spans="2:4" ht="18.75" customHeight="1">
      <c r="B302" s="9"/>
      <c r="C302" s="9"/>
      <c r="D302" s="9"/>
    </row>
    <row r="303" spans="2:4" ht="18.75" customHeight="1">
      <c r="B303" s="9"/>
      <c r="C303" s="9"/>
      <c r="D303" s="9"/>
    </row>
    <row r="304" spans="2:4" ht="18.75" customHeight="1">
      <c r="B304" s="9"/>
      <c r="C304" s="9"/>
      <c r="D304" s="9"/>
    </row>
    <row r="305" spans="2:4" ht="18.75" customHeight="1">
      <c r="B305" s="9"/>
      <c r="C305" s="9"/>
      <c r="D305" s="9"/>
    </row>
    <row r="306" spans="2:4" ht="18.75" customHeight="1">
      <c r="B306" s="9"/>
      <c r="C306" s="9"/>
      <c r="D306" s="9"/>
    </row>
    <row r="307" spans="2:4" ht="18.75" customHeight="1">
      <c r="B307" s="9"/>
      <c r="C307" s="9"/>
      <c r="D307" s="9"/>
    </row>
    <row r="308" spans="2:4" ht="18.75" customHeight="1">
      <c r="B308" s="9"/>
      <c r="C308" s="9"/>
      <c r="D308" s="9"/>
    </row>
    <row r="309" spans="2:4" ht="18.75" customHeight="1">
      <c r="B309" s="9"/>
      <c r="C309" s="9"/>
      <c r="D309" s="9"/>
    </row>
    <row r="310" spans="2:4" ht="18.75" customHeight="1">
      <c r="B310" s="9"/>
      <c r="C310" s="9"/>
      <c r="D310" s="9"/>
    </row>
    <row r="311" spans="2:4" ht="18.75" customHeight="1">
      <c r="B311" s="9"/>
      <c r="C311" s="9"/>
      <c r="D311" s="9"/>
    </row>
    <row r="312" spans="2:4" ht="18.75" customHeight="1">
      <c r="B312" s="9"/>
      <c r="C312" s="9"/>
      <c r="D312" s="9"/>
    </row>
    <row r="313" spans="2:4" ht="18.75" customHeight="1">
      <c r="B313" s="9"/>
      <c r="C313" s="9"/>
      <c r="D313" s="9"/>
    </row>
    <row r="314" spans="2:4" ht="18.75" customHeight="1">
      <c r="B314" s="9"/>
      <c r="C314" s="9"/>
      <c r="D314" s="9"/>
    </row>
    <row r="315" spans="2:4" ht="18.75" customHeight="1">
      <c r="B315" s="9"/>
      <c r="C315" s="9"/>
      <c r="D315" s="9"/>
    </row>
    <row r="316" spans="2:4" ht="18.75" customHeight="1">
      <c r="B316" s="9"/>
      <c r="C316" s="9"/>
      <c r="D316" s="9"/>
    </row>
    <row r="317" spans="2:4" ht="18.75" customHeight="1">
      <c r="B317" s="9"/>
      <c r="C317" s="9"/>
      <c r="D317" s="9"/>
    </row>
    <row r="318" spans="2:4" ht="18.75" customHeight="1">
      <c r="B318" s="9"/>
      <c r="C318" s="9"/>
      <c r="D318" s="9"/>
    </row>
    <row r="319" spans="2:4" ht="18.75" customHeight="1">
      <c r="B319" s="9"/>
      <c r="C319" s="9"/>
      <c r="D319" s="9"/>
    </row>
    <row r="320" spans="2:4" ht="18.75" customHeight="1">
      <c r="B320" s="9"/>
      <c r="C320" s="9"/>
      <c r="D320" s="9"/>
    </row>
    <row r="321" spans="2:4" ht="18.75" customHeight="1">
      <c r="B321" s="9"/>
      <c r="C321" s="9"/>
      <c r="D321" s="9"/>
    </row>
    <row r="322" spans="2:4" ht="18.75" customHeight="1">
      <c r="B322" s="9"/>
      <c r="C322" s="9"/>
      <c r="D322" s="9"/>
    </row>
    <row r="323" spans="2:4" ht="18.75" customHeight="1">
      <c r="B323" s="9"/>
      <c r="C323" s="9"/>
      <c r="D323" s="9"/>
    </row>
    <row r="324" spans="2:4" ht="18.75" customHeight="1">
      <c r="B324" s="9"/>
      <c r="C324" s="9"/>
      <c r="D324" s="9"/>
    </row>
    <row r="325" spans="2:4" ht="18.75" customHeight="1">
      <c r="B325" s="9"/>
      <c r="C325" s="9"/>
      <c r="D325" s="9"/>
    </row>
    <row r="326" spans="2:4" ht="18.75" customHeight="1">
      <c r="B326" s="9"/>
      <c r="C326" s="9"/>
      <c r="D326" s="9"/>
    </row>
    <row r="327" spans="2:4" ht="18.75" customHeight="1">
      <c r="B327" s="9"/>
      <c r="C327" s="9"/>
      <c r="D327" s="9"/>
    </row>
    <row r="328" spans="2:4" ht="18.75" customHeight="1">
      <c r="B328" s="9"/>
      <c r="C328" s="9"/>
      <c r="D328" s="9"/>
    </row>
    <row r="329" spans="2:4" ht="18.75" customHeight="1">
      <c r="B329" s="9"/>
      <c r="C329" s="9"/>
      <c r="D329" s="9"/>
    </row>
    <row r="330" spans="2:4" ht="18.75" customHeight="1">
      <c r="B330" s="9"/>
      <c r="C330" s="9"/>
      <c r="D330" s="9"/>
    </row>
    <row r="331" spans="2:4" ht="18.75" customHeight="1">
      <c r="B331" s="9"/>
      <c r="C331" s="9"/>
      <c r="D331" s="9"/>
    </row>
    <row r="332" spans="2:4" ht="18.75" customHeight="1">
      <c r="B332" s="9"/>
      <c r="C332" s="9"/>
      <c r="D332" s="9"/>
    </row>
    <row r="333" spans="2:4" ht="18.75" customHeight="1">
      <c r="B333" s="9"/>
      <c r="C333" s="9"/>
      <c r="D333" s="9"/>
    </row>
    <row r="334" spans="2:4" ht="18.75" customHeight="1">
      <c r="B334" s="9"/>
      <c r="C334" s="9"/>
      <c r="D334" s="9"/>
    </row>
    <row r="335" spans="2:4" ht="18.75" customHeight="1">
      <c r="B335" s="9"/>
      <c r="C335" s="9"/>
      <c r="D335" s="9"/>
    </row>
    <row r="336" spans="2:4" ht="18.75" customHeight="1">
      <c r="B336" s="9"/>
      <c r="C336" s="9"/>
      <c r="D336" s="9"/>
    </row>
    <row r="337" spans="2:4" ht="18.75" customHeight="1">
      <c r="B337" s="9"/>
      <c r="C337" s="9"/>
      <c r="D337" s="9"/>
    </row>
    <row r="338" spans="2:4" ht="18.75" customHeight="1">
      <c r="B338" s="9"/>
      <c r="C338" s="9"/>
      <c r="D338" s="9"/>
    </row>
    <row r="339" spans="2:4" ht="18.75" customHeight="1">
      <c r="B339" s="9"/>
      <c r="C339" s="9"/>
      <c r="D339" s="9"/>
    </row>
    <row r="340" spans="2:4" ht="18.75" customHeight="1">
      <c r="B340" s="9"/>
      <c r="C340" s="9"/>
      <c r="D340" s="9"/>
    </row>
    <row r="341" spans="2:4" ht="18.75" customHeight="1">
      <c r="B341" s="9"/>
      <c r="C341" s="9"/>
      <c r="D341" s="9"/>
    </row>
    <row r="342" spans="2:4" ht="18.75" customHeight="1">
      <c r="B342" s="9"/>
      <c r="C342" s="9"/>
      <c r="D342" s="9"/>
    </row>
    <row r="343" spans="2:4" ht="18.75" customHeight="1">
      <c r="B343" s="9"/>
      <c r="C343" s="9"/>
      <c r="D343" s="9"/>
    </row>
    <row r="344" spans="2:4" ht="18.75" customHeight="1">
      <c r="B344" s="9"/>
      <c r="C344" s="9"/>
      <c r="D344" s="9"/>
    </row>
    <row r="345" spans="2:4" ht="18.75" customHeight="1">
      <c r="B345" s="9"/>
      <c r="C345" s="9"/>
      <c r="D345" s="9"/>
    </row>
    <row r="346" spans="2:4" ht="18.75" customHeight="1">
      <c r="B346" s="9"/>
      <c r="C346" s="9"/>
      <c r="D346" s="9"/>
    </row>
    <row r="347" spans="2:4" ht="18.75" customHeight="1">
      <c r="B347" s="9"/>
      <c r="C347" s="9"/>
      <c r="D347" s="9"/>
    </row>
    <row r="348" spans="2:4" ht="18.75" customHeight="1">
      <c r="B348" s="9"/>
      <c r="C348" s="9"/>
      <c r="D348" s="9"/>
    </row>
    <row r="349" spans="2:4" ht="18.75" customHeight="1">
      <c r="B349" s="9"/>
      <c r="C349" s="9"/>
      <c r="D349" s="9"/>
    </row>
    <row r="350" spans="2:4" ht="18.75" customHeight="1">
      <c r="B350" s="9"/>
      <c r="C350" s="9"/>
      <c r="D350" s="9"/>
    </row>
    <row r="351" spans="2:4" ht="18.75" customHeight="1">
      <c r="B351" s="9"/>
      <c r="C351" s="9"/>
      <c r="D351" s="9"/>
    </row>
    <row r="352" spans="2:4" ht="18.75" customHeight="1">
      <c r="B352" s="9"/>
      <c r="C352" s="9"/>
      <c r="D352" s="9"/>
    </row>
    <row r="353" spans="2:4" ht="18.75" customHeight="1">
      <c r="B353" s="9"/>
      <c r="C353" s="9"/>
      <c r="D353" s="9"/>
    </row>
    <row r="354" spans="2:4" ht="18.75" customHeight="1">
      <c r="B354" s="9"/>
      <c r="C354" s="9"/>
      <c r="D354" s="9"/>
    </row>
    <row r="355" spans="2:4" ht="18.75" customHeight="1">
      <c r="B355" s="9"/>
      <c r="C355" s="9"/>
      <c r="D355" s="9"/>
    </row>
    <row r="356" spans="2:4" ht="18.75" customHeight="1">
      <c r="B356" s="9"/>
      <c r="C356" s="9"/>
      <c r="D356" s="9"/>
    </row>
    <row r="357" spans="2:4" ht="18.75" customHeight="1">
      <c r="B357" s="9"/>
      <c r="C357" s="9"/>
      <c r="D357" s="9"/>
    </row>
    <row r="358" spans="2:4" ht="18.75" customHeight="1">
      <c r="B358" s="9"/>
      <c r="C358" s="9"/>
      <c r="D358" s="9"/>
    </row>
    <row r="359" spans="2:4" ht="18.75" customHeight="1">
      <c r="B359" s="9"/>
      <c r="C359" s="9"/>
      <c r="D359" s="9"/>
    </row>
    <row r="360" spans="2:4" ht="18.75" customHeight="1">
      <c r="B360" s="9"/>
      <c r="C360" s="9"/>
      <c r="D360" s="9"/>
    </row>
    <row r="361" spans="2:4" ht="18.75" customHeight="1">
      <c r="B361" s="9"/>
      <c r="C361" s="9"/>
      <c r="D361" s="9"/>
    </row>
    <row r="362" spans="2:4" ht="18.75" customHeight="1">
      <c r="B362" s="9"/>
      <c r="C362" s="9"/>
      <c r="D362" s="9"/>
    </row>
    <row r="363" spans="2:4" ht="18.75" customHeight="1">
      <c r="B363" s="9"/>
      <c r="C363" s="9"/>
      <c r="D363" s="9"/>
    </row>
    <row r="364" spans="2:4" ht="18.75" customHeight="1">
      <c r="B364" s="9"/>
      <c r="C364" s="9"/>
      <c r="D364" s="9"/>
    </row>
    <row r="365" spans="2:4" ht="18.75" customHeight="1">
      <c r="B365" s="9"/>
      <c r="C365" s="9"/>
      <c r="D365" s="9"/>
    </row>
    <row r="366" spans="2:4" ht="18.75" customHeight="1">
      <c r="B366" s="9"/>
      <c r="C366" s="9"/>
      <c r="D366" s="9"/>
    </row>
    <row r="367" spans="2:4" ht="18.75" customHeight="1">
      <c r="B367" s="9"/>
      <c r="C367" s="9"/>
      <c r="D367" s="9"/>
    </row>
    <row r="368" spans="2:4" ht="18.75" customHeight="1">
      <c r="B368" s="9"/>
      <c r="C368" s="9"/>
      <c r="D368" s="9"/>
    </row>
    <row r="369" spans="2:4" ht="18.75" customHeight="1">
      <c r="B369" s="9"/>
      <c r="C369" s="9"/>
      <c r="D369" s="9"/>
    </row>
    <row r="370" spans="2:4" ht="18.75" customHeight="1">
      <c r="B370" s="9"/>
      <c r="C370" s="9"/>
      <c r="D370" s="9"/>
    </row>
    <row r="371" spans="2:4" ht="18.75" customHeight="1">
      <c r="B371" s="9"/>
      <c r="C371" s="9"/>
      <c r="D371" s="9"/>
    </row>
    <row r="372" spans="2:4" ht="18.75" customHeight="1">
      <c r="B372" s="9"/>
      <c r="C372" s="9"/>
      <c r="D372" s="9"/>
    </row>
    <row r="373" spans="2:4" ht="18.75" customHeight="1">
      <c r="B373" s="9"/>
      <c r="C373" s="9"/>
      <c r="D373" s="9"/>
    </row>
    <row r="374" spans="2:4" ht="18.75" customHeight="1">
      <c r="B374" s="9"/>
      <c r="C374" s="9"/>
      <c r="D374" s="9"/>
    </row>
    <row r="375" spans="2:4" ht="18.75" customHeight="1">
      <c r="B375" s="9"/>
      <c r="C375" s="9"/>
      <c r="D375" s="9"/>
    </row>
    <row r="376" spans="2:4" ht="18.75" customHeight="1">
      <c r="B376" s="9"/>
      <c r="C376" s="9"/>
      <c r="D376" s="9"/>
    </row>
    <row r="377" spans="2:4" ht="18.75" customHeight="1">
      <c r="B377" s="9"/>
      <c r="C377" s="9"/>
      <c r="D377" s="9"/>
    </row>
    <row r="378" spans="2:4" ht="18.75" customHeight="1">
      <c r="B378" s="9"/>
      <c r="C378" s="9"/>
      <c r="D378" s="9"/>
    </row>
    <row r="379" spans="2:4" ht="18.75" customHeight="1">
      <c r="B379" s="9"/>
      <c r="C379" s="9"/>
      <c r="D379" s="9"/>
    </row>
    <row r="380" spans="2:4" ht="18.75" customHeight="1">
      <c r="B380" s="9"/>
      <c r="C380" s="9"/>
      <c r="D380" s="9"/>
    </row>
    <row r="381" spans="2:4" ht="18.75" customHeight="1">
      <c r="B381" s="9"/>
      <c r="C381" s="9"/>
      <c r="D381" s="9"/>
    </row>
    <row r="382" spans="2:4" ht="18.75" customHeight="1">
      <c r="B382" s="9"/>
      <c r="C382" s="9"/>
      <c r="D382" s="9"/>
    </row>
    <row r="383" spans="2:4" ht="18.75" customHeight="1">
      <c r="B383" s="9"/>
      <c r="C383" s="9"/>
      <c r="D383" s="9"/>
    </row>
    <row r="384" spans="2:4" ht="18.75" customHeight="1">
      <c r="B384" s="9"/>
      <c r="C384" s="9"/>
      <c r="D384" s="9"/>
    </row>
    <row r="385" spans="2:4" ht="18.75" customHeight="1">
      <c r="B385" s="9"/>
      <c r="C385" s="9"/>
      <c r="D385" s="9"/>
    </row>
    <row r="386" spans="2:4" ht="18.75" customHeight="1">
      <c r="B386" s="9"/>
      <c r="C386" s="9"/>
      <c r="D386" s="9"/>
    </row>
    <row r="387" spans="2:4" ht="18.75" customHeight="1">
      <c r="B387" s="9"/>
      <c r="C387" s="9"/>
      <c r="D387" s="9"/>
    </row>
    <row r="388" spans="2:4" ht="18.75" customHeight="1">
      <c r="B388" s="9"/>
      <c r="C388" s="9"/>
      <c r="D388" s="9"/>
    </row>
    <row r="389" spans="2:4" ht="18.75" customHeight="1">
      <c r="B389" s="9"/>
      <c r="C389" s="9"/>
      <c r="D389" s="9"/>
    </row>
    <row r="390" spans="2:4" ht="18.75" customHeight="1">
      <c r="B390" s="9"/>
      <c r="C390" s="9"/>
      <c r="D390" s="9"/>
    </row>
    <row r="391" spans="2:4" ht="18.75" customHeight="1">
      <c r="B391" s="9"/>
      <c r="C391" s="9"/>
      <c r="D391" s="9"/>
    </row>
    <row r="392" spans="2:4" ht="18.75" customHeight="1">
      <c r="B392" s="9"/>
      <c r="C392" s="9"/>
      <c r="D392" s="9"/>
    </row>
    <row r="393" spans="2:4" ht="18.75" customHeight="1">
      <c r="B393" s="9"/>
      <c r="C393" s="9"/>
      <c r="D393" s="9"/>
    </row>
    <row r="394" spans="2:4" ht="18.75" customHeight="1">
      <c r="B394" s="9"/>
      <c r="C394" s="9"/>
      <c r="D394" s="9"/>
    </row>
    <row r="395" spans="2:4" ht="18.75" customHeight="1">
      <c r="B395" s="9"/>
      <c r="C395" s="9"/>
      <c r="D395" s="9"/>
    </row>
    <row r="396" spans="2:4" ht="18.75" customHeight="1">
      <c r="B396" s="9"/>
      <c r="C396" s="9"/>
      <c r="D396" s="9"/>
    </row>
    <row r="397" spans="2:4" ht="18.75" customHeight="1">
      <c r="B397" s="9"/>
      <c r="C397" s="9"/>
      <c r="D397" s="9"/>
    </row>
    <row r="398" spans="2:4" ht="18.75" customHeight="1">
      <c r="B398" s="9"/>
      <c r="C398" s="9"/>
      <c r="D398" s="9"/>
    </row>
    <row r="399" spans="2:4" ht="18.75" customHeight="1">
      <c r="B399" s="9"/>
      <c r="C399" s="9"/>
      <c r="D399" s="9"/>
    </row>
    <row r="400" spans="2:4" ht="18.75" customHeight="1">
      <c r="B400" s="9"/>
      <c r="C400" s="9"/>
      <c r="D400" s="9"/>
    </row>
    <row r="401" spans="2:4" ht="18.75" customHeight="1">
      <c r="B401" s="9"/>
      <c r="C401" s="9"/>
      <c r="D401" s="9"/>
    </row>
    <row r="402" spans="2:4" ht="18.75" customHeight="1">
      <c r="B402" s="9"/>
      <c r="C402" s="9"/>
      <c r="D402" s="9"/>
    </row>
    <row r="403" spans="2:4" ht="18.75" customHeight="1">
      <c r="B403" s="9"/>
      <c r="C403" s="9"/>
      <c r="D403" s="9"/>
    </row>
    <row r="404" spans="2:4" ht="18.75" customHeight="1">
      <c r="B404" s="9"/>
      <c r="C404" s="9"/>
      <c r="D404" s="9"/>
    </row>
    <row r="405" spans="2:4" ht="18.75" customHeight="1">
      <c r="B405" s="9"/>
      <c r="C405" s="9"/>
      <c r="D405" s="9"/>
    </row>
    <row r="406" spans="2:4" ht="18.75" customHeight="1">
      <c r="B406" s="9"/>
      <c r="C406" s="9"/>
      <c r="D406" s="9"/>
    </row>
    <row r="407" spans="2:4" ht="18.75" customHeight="1">
      <c r="B407" s="9"/>
      <c r="C407" s="9"/>
      <c r="D407" s="9"/>
    </row>
    <row r="408" spans="2:4" ht="18.75" customHeight="1">
      <c r="B408" s="9"/>
      <c r="C408" s="9"/>
      <c r="D408" s="9"/>
    </row>
    <row r="409" spans="2:4" ht="18.75" customHeight="1">
      <c r="B409" s="9"/>
      <c r="C409" s="9"/>
      <c r="D409" s="9"/>
    </row>
    <row r="410" spans="2:4" ht="18.75" customHeight="1">
      <c r="B410" s="9"/>
      <c r="C410" s="9"/>
      <c r="D410" s="9"/>
    </row>
    <row r="411" spans="2:4" ht="18.75" customHeight="1">
      <c r="B411" s="9"/>
      <c r="C411" s="9"/>
      <c r="D411" s="9"/>
    </row>
    <row r="412" spans="2:4" ht="18.75" customHeight="1">
      <c r="B412" s="9"/>
      <c r="C412" s="9"/>
      <c r="D412" s="9"/>
    </row>
    <row r="413" spans="2:4" ht="18.75" customHeight="1">
      <c r="B413" s="9"/>
      <c r="C413" s="9"/>
      <c r="D413" s="9"/>
    </row>
    <row r="414" spans="2:4" ht="18.75" customHeight="1">
      <c r="B414" s="9"/>
      <c r="C414" s="9"/>
      <c r="D414" s="9"/>
    </row>
    <row r="415" spans="2:4" ht="18.75" customHeight="1">
      <c r="B415" s="9"/>
      <c r="C415" s="9"/>
      <c r="D415" s="9"/>
    </row>
    <row r="416" spans="2:4" ht="18.75" customHeight="1">
      <c r="B416" s="9"/>
      <c r="C416" s="9"/>
      <c r="D416" s="9"/>
    </row>
    <row r="417" spans="2:4" ht="18.75" customHeight="1">
      <c r="B417" s="9"/>
      <c r="C417" s="9"/>
      <c r="D417" s="9"/>
    </row>
    <row r="418" spans="2:4" ht="18.75" customHeight="1">
      <c r="B418" s="9"/>
      <c r="C418" s="9"/>
      <c r="D418" s="9"/>
    </row>
    <row r="419" spans="2:4" ht="18.75" customHeight="1">
      <c r="B419" s="9"/>
      <c r="C419" s="9"/>
      <c r="D419" s="9"/>
    </row>
    <row r="420" spans="2:4" ht="18.75" customHeight="1">
      <c r="B420" s="9"/>
      <c r="C420" s="9"/>
      <c r="D420" s="9"/>
    </row>
    <row r="421" spans="2:4" ht="18.75" customHeight="1">
      <c r="B421" s="9"/>
      <c r="C421" s="9"/>
      <c r="D421" s="9"/>
    </row>
    <row r="422" spans="2:4" ht="18.75" customHeight="1">
      <c r="B422" s="9"/>
      <c r="C422" s="9"/>
      <c r="D422" s="9"/>
    </row>
    <row r="423" spans="2:4" ht="18.75" customHeight="1">
      <c r="B423" s="9"/>
      <c r="C423" s="9"/>
      <c r="D423" s="9"/>
    </row>
    <row r="424" spans="2:4" ht="18.75" customHeight="1">
      <c r="B424" s="9"/>
      <c r="C424" s="9"/>
      <c r="D424" s="9"/>
    </row>
    <row r="425" spans="2:4" ht="18.75" customHeight="1">
      <c r="B425" s="9"/>
      <c r="C425" s="9"/>
      <c r="D425" s="9"/>
    </row>
    <row r="426" spans="2:4" ht="18.75" customHeight="1">
      <c r="B426" s="9"/>
      <c r="C426" s="9"/>
      <c r="D426" s="9"/>
    </row>
    <row r="427" spans="2:4" ht="18.75" customHeight="1">
      <c r="B427" s="9"/>
      <c r="C427" s="9"/>
      <c r="D427" s="9"/>
    </row>
    <row r="428" spans="2:4" ht="18.75" customHeight="1">
      <c r="B428" s="9"/>
      <c r="C428" s="9"/>
      <c r="D428" s="9"/>
    </row>
    <row r="429" spans="2:4" ht="18.75" customHeight="1">
      <c r="B429" s="9"/>
      <c r="C429" s="9"/>
      <c r="D429" s="9"/>
    </row>
    <row r="430" spans="2:4" ht="18.75" customHeight="1">
      <c r="B430" s="9"/>
      <c r="C430" s="9"/>
      <c r="D430" s="9"/>
    </row>
    <row r="431" spans="2:4" ht="18.75" customHeight="1">
      <c r="B431" s="9"/>
      <c r="C431" s="9"/>
      <c r="D431" s="9"/>
    </row>
    <row r="432" spans="2:4" ht="18.75" customHeight="1">
      <c r="B432" s="9"/>
      <c r="C432" s="9"/>
      <c r="D432" s="9"/>
    </row>
    <row r="433" spans="2:4" ht="18.75" customHeight="1">
      <c r="B433" s="9"/>
      <c r="C433" s="9"/>
      <c r="D433" s="9"/>
    </row>
    <row r="434" spans="2:4" ht="18.75" customHeight="1">
      <c r="B434" s="9"/>
      <c r="C434" s="9"/>
      <c r="D434" s="9"/>
    </row>
    <row r="435" spans="2:4" ht="18.75" customHeight="1">
      <c r="B435" s="9"/>
      <c r="C435" s="9"/>
      <c r="D435" s="9"/>
    </row>
    <row r="436" spans="2:4" ht="18.75" customHeight="1">
      <c r="B436" s="9"/>
      <c r="C436" s="9"/>
      <c r="D436" s="9"/>
    </row>
    <row r="437" spans="2:4" ht="18.75" customHeight="1">
      <c r="B437" s="9"/>
      <c r="C437" s="9"/>
      <c r="D437" s="9"/>
    </row>
    <row r="438" spans="2:4" ht="18.75" customHeight="1">
      <c r="B438" s="9"/>
      <c r="C438" s="9"/>
      <c r="D438" s="9"/>
    </row>
    <row r="439" spans="2:4" ht="18.75" customHeight="1">
      <c r="B439" s="9"/>
      <c r="C439" s="9"/>
      <c r="D439" s="9"/>
    </row>
    <row r="440" spans="2:4" ht="18.75" customHeight="1">
      <c r="B440" s="9"/>
      <c r="C440" s="9"/>
      <c r="D440" s="9"/>
    </row>
    <row r="441" spans="2:4" ht="18.75" customHeight="1">
      <c r="B441" s="9"/>
      <c r="C441" s="9"/>
      <c r="D441" s="9"/>
    </row>
    <row r="442" spans="2:4" ht="18.75" customHeight="1">
      <c r="B442" s="9"/>
      <c r="C442" s="9"/>
      <c r="D442" s="9"/>
    </row>
    <row r="443" spans="2:4" ht="18.75" customHeight="1">
      <c r="B443" s="9"/>
      <c r="C443" s="9"/>
      <c r="D443" s="9"/>
    </row>
    <row r="444" spans="2:4" ht="18.75" customHeight="1">
      <c r="B444" s="9"/>
      <c r="C444" s="9"/>
      <c r="D444" s="9"/>
    </row>
    <row r="445" spans="2:4" ht="18.75" customHeight="1">
      <c r="B445" s="9"/>
      <c r="C445" s="9"/>
      <c r="D445" s="9"/>
    </row>
    <row r="446" spans="2:4" ht="18.75" customHeight="1">
      <c r="B446" s="9"/>
      <c r="C446" s="9"/>
      <c r="D446" s="9"/>
    </row>
    <row r="447" spans="2:4" ht="18.75" customHeight="1">
      <c r="B447" s="9"/>
      <c r="C447" s="9"/>
      <c r="D447" s="9"/>
    </row>
    <row r="448" spans="2:4" ht="18.75" customHeight="1">
      <c r="B448" s="9"/>
      <c r="C448" s="9"/>
      <c r="D448" s="9"/>
    </row>
    <row r="449" spans="2:4" ht="18.75" customHeight="1">
      <c r="B449" s="9"/>
      <c r="C449" s="9"/>
      <c r="D449" s="9"/>
    </row>
    <row r="450" spans="2:4" ht="18.75" customHeight="1">
      <c r="B450" s="9"/>
      <c r="C450" s="9"/>
      <c r="D450" s="9"/>
    </row>
    <row r="451" spans="2:4" ht="18.75" customHeight="1">
      <c r="B451" s="9"/>
      <c r="C451" s="9"/>
      <c r="D451" s="9"/>
    </row>
    <row r="452" spans="2:4" ht="18.75" customHeight="1">
      <c r="B452" s="9"/>
      <c r="C452" s="9"/>
      <c r="D452" s="9"/>
    </row>
    <row r="453" spans="2:4" ht="18.75" customHeight="1">
      <c r="B453" s="9"/>
      <c r="C453" s="9"/>
      <c r="D453" s="9"/>
    </row>
    <row r="454" spans="2:4" ht="18.75" customHeight="1">
      <c r="B454" s="9"/>
      <c r="C454" s="9"/>
      <c r="D454" s="9"/>
    </row>
    <row r="455" spans="2:4" ht="18.75" customHeight="1">
      <c r="B455" s="9"/>
      <c r="C455" s="9"/>
      <c r="D455" s="9"/>
    </row>
    <row r="456" spans="2:4" ht="18.75" customHeight="1">
      <c r="B456" s="9"/>
      <c r="C456" s="9"/>
      <c r="D456" s="9"/>
    </row>
    <row r="457" spans="2:4" ht="18.75" customHeight="1">
      <c r="B457" s="9"/>
      <c r="C457" s="9"/>
      <c r="D457" s="9"/>
    </row>
    <row r="458" spans="2:4" ht="18.75" customHeight="1">
      <c r="B458" s="9"/>
      <c r="C458" s="9"/>
      <c r="D458" s="9"/>
    </row>
    <row r="459" spans="2:4" ht="18.75" customHeight="1">
      <c r="B459" s="9"/>
      <c r="C459" s="9"/>
      <c r="D459" s="9"/>
    </row>
    <row r="460" spans="2:4" ht="18.75" customHeight="1">
      <c r="B460" s="9"/>
      <c r="C460" s="9"/>
      <c r="D460" s="9"/>
    </row>
    <row r="461" spans="2:4" ht="18.75" customHeight="1">
      <c r="B461" s="9"/>
      <c r="C461" s="9"/>
      <c r="D461" s="9"/>
    </row>
    <row r="462" spans="2:4" ht="18.75" customHeight="1">
      <c r="B462" s="9"/>
      <c r="C462" s="9"/>
      <c r="D462" s="9"/>
    </row>
    <row r="463" spans="2:4" ht="18.75" customHeight="1">
      <c r="B463" s="9"/>
      <c r="C463" s="9"/>
      <c r="D463" s="9"/>
    </row>
    <row r="464" spans="2:4" ht="18.75" customHeight="1">
      <c r="B464" s="9"/>
      <c r="C464" s="9"/>
      <c r="D464" s="9"/>
    </row>
    <row r="465" spans="2:4" ht="18.75" customHeight="1">
      <c r="B465" s="9"/>
      <c r="C465" s="9"/>
      <c r="D465" s="9"/>
    </row>
    <row r="466" spans="2:4" ht="18.75" customHeight="1">
      <c r="B466" s="9"/>
      <c r="C466" s="9"/>
      <c r="D466" s="9"/>
    </row>
    <row r="467" spans="2:4" ht="18.75" customHeight="1">
      <c r="B467" s="9"/>
      <c r="C467" s="9"/>
      <c r="D467" s="9"/>
    </row>
    <row r="468" spans="2:4" ht="18.75" customHeight="1">
      <c r="B468" s="9"/>
      <c r="C468" s="9"/>
      <c r="D468" s="9"/>
    </row>
    <row r="469" spans="2:4" ht="18.75" customHeight="1">
      <c r="B469" s="9"/>
      <c r="C469" s="9"/>
      <c r="D469" s="9"/>
    </row>
    <row r="470" spans="2:4" ht="18.75" customHeight="1">
      <c r="B470" s="9"/>
      <c r="C470" s="9"/>
      <c r="D470" s="9"/>
    </row>
    <row r="471" spans="2:4" ht="18.75" customHeight="1">
      <c r="B471" s="9"/>
      <c r="C471" s="9"/>
      <c r="D471" s="9"/>
    </row>
    <row r="472" spans="2:4" ht="18.75" customHeight="1">
      <c r="B472" s="9"/>
      <c r="C472" s="9"/>
      <c r="D472" s="9"/>
    </row>
    <row r="473" spans="2:4" ht="18.75" customHeight="1">
      <c r="B473" s="9"/>
      <c r="C473" s="9"/>
      <c r="D473" s="9"/>
    </row>
    <row r="474" spans="2:4" ht="18.75" customHeight="1">
      <c r="B474" s="9"/>
      <c r="C474" s="9"/>
      <c r="D474" s="9"/>
    </row>
    <row r="475" spans="2:4" ht="18.75" customHeight="1">
      <c r="B475" s="9"/>
      <c r="C475" s="9"/>
      <c r="D475" s="9"/>
    </row>
    <row r="476" spans="2:4" ht="18.75" customHeight="1">
      <c r="B476" s="9"/>
      <c r="C476" s="9"/>
      <c r="D476" s="9"/>
    </row>
    <row r="477" spans="2:4" ht="18.75" customHeight="1">
      <c r="B477" s="9"/>
      <c r="C477" s="9"/>
      <c r="D477" s="9"/>
    </row>
    <row r="478" spans="2:4" ht="18.75" customHeight="1">
      <c r="B478" s="9"/>
      <c r="C478" s="9"/>
      <c r="D478" s="9"/>
    </row>
    <row r="479" spans="2:4" ht="18.75" customHeight="1">
      <c r="B479" s="9"/>
      <c r="C479" s="9"/>
      <c r="D479" s="9"/>
    </row>
    <row r="480" spans="2:4" ht="18.75" customHeight="1">
      <c r="B480" s="9"/>
      <c r="C480" s="9"/>
      <c r="D480" s="9"/>
    </row>
    <row r="481" spans="2:4" ht="18.75" customHeight="1">
      <c r="B481" s="9"/>
      <c r="C481" s="9"/>
      <c r="D481" s="9"/>
    </row>
    <row r="482" spans="2:4" ht="18.75" customHeight="1">
      <c r="B482" s="9"/>
      <c r="C482" s="9"/>
      <c r="D482" s="9"/>
    </row>
    <row r="483" spans="2:4" ht="18.75" customHeight="1">
      <c r="B483" s="9"/>
      <c r="C483" s="9"/>
      <c r="D483" s="9"/>
    </row>
    <row r="484" spans="2:4" ht="18.75" customHeight="1">
      <c r="B484" s="9"/>
      <c r="C484" s="9"/>
      <c r="D484" s="9"/>
    </row>
    <row r="485" spans="2:4" ht="18.75" customHeight="1">
      <c r="B485" s="9"/>
      <c r="C485" s="9"/>
      <c r="D485" s="9"/>
    </row>
    <row r="486" spans="2:4" ht="18.75" customHeight="1">
      <c r="B486" s="9"/>
      <c r="C486" s="9"/>
      <c r="D486" s="9"/>
    </row>
    <row r="487" spans="2:4" ht="18.75" customHeight="1">
      <c r="B487" s="9"/>
      <c r="C487" s="9"/>
      <c r="D487" s="9"/>
    </row>
    <row r="488" spans="2:4" ht="18.75" customHeight="1">
      <c r="B488" s="9"/>
      <c r="C488" s="9"/>
      <c r="D488" s="9"/>
    </row>
    <row r="489" spans="2:4" ht="18.75" customHeight="1">
      <c r="B489" s="9"/>
      <c r="C489" s="9"/>
      <c r="D489" s="9"/>
    </row>
    <row r="490" spans="2:4" ht="18.75" customHeight="1">
      <c r="B490" s="9"/>
      <c r="C490" s="9"/>
      <c r="D490" s="9"/>
    </row>
    <row r="491" spans="2:4" ht="18.75" customHeight="1">
      <c r="B491" s="9"/>
      <c r="C491" s="9"/>
      <c r="D491" s="9"/>
    </row>
    <row r="492" spans="2:4" ht="18.75" customHeight="1">
      <c r="B492" s="9"/>
      <c r="C492" s="9"/>
      <c r="D492" s="9"/>
    </row>
    <row r="493" spans="2:4" ht="18.75" customHeight="1">
      <c r="B493" s="9"/>
      <c r="C493" s="9"/>
      <c r="D493" s="9"/>
    </row>
    <row r="494" spans="2:4" ht="18.75" customHeight="1">
      <c r="B494" s="9"/>
      <c r="C494" s="9"/>
      <c r="D494" s="9"/>
    </row>
    <row r="495" spans="2:4" ht="18.75" customHeight="1">
      <c r="B495" s="9"/>
      <c r="C495" s="9"/>
      <c r="D495" s="9"/>
    </row>
    <row r="496" spans="2:4" ht="18.75" customHeight="1">
      <c r="B496" s="9"/>
      <c r="C496" s="9"/>
      <c r="D496" s="9"/>
    </row>
    <row r="497" spans="2:4" ht="18.75" customHeight="1">
      <c r="B497" s="9"/>
      <c r="C497" s="9"/>
      <c r="D497" s="9"/>
    </row>
    <row r="498" spans="2:4" ht="18.75" customHeight="1">
      <c r="B498" s="9"/>
      <c r="C498" s="9"/>
      <c r="D498" s="9"/>
    </row>
    <row r="499" spans="2:4" ht="18.75" customHeight="1">
      <c r="B499" s="9"/>
      <c r="C499" s="9"/>
      <c r="D499" s="9"/>
    </row>
    <row r="500" spans="2:4" ht="18.75" customHeight="1">
      <c r="B500" s="9"/>
      <c r="C500" s="9"/>
      <c r="D500" s="9"/>
    </row>
    <row r="501" spans="2:4" ht="18.75" customHeight="1">
      <c r="B501" s="9"/>
      <c r="C501" s="9"/>
      <c r="D501" s="9"/>
    </row>
    <row r="502" spans="2:4" ht="18.75" customHeight="1">
      <c r="B502" s="9"/>
      <c r="C502" s="9"/>
      <c r="D502" s="9"/>
    </row>
    <row r="503" spans="2:4" ht="18.75" customHeight="1">
      <c r="B503" s="9"/>
      <c r="C503" s="9"/>
      <c r="D503" s="9"/>
    </row>
    <row r="504" spans="2:4" ht="18.75" customHeight="1">
      <c r="B504" s="9"/>
      <c r="C504" s="9"/>
      <c r="D504" s="9"/>
    </row>
    <row r="505" spans="2:4" ht="18.75" customHeight="1">
      <c r="B505" s="9"/>
      <c r="C505" s="9"/>
      <c r="D505" s="9"/>
    </row>
    <row r="506" spans="2:4" ht="18.75" customHeight="1">
      <c r="B506" s="9"/>
      <c r="C506" s="9"/>
      <c r="D506" s="9"/>
    </row>
    <row r="507" spans="2:4" ht="18.75" customHeight="1">
      <c r="B507" s="9"/>
      <c r="C507" s="9"/>
      <c r="D507" s="9"/>
    </row>
    <row r="508" spans="2:4" ht="18.75" customHeight="1">
      <c r="B508" s="9"/>
      <c r="C508" s="9"/>
      <c r="D508" s="9"/>
    </row>
    <row r="509" spans="2:4" ht="18.75" customHeight="1">
      <c r="B509" s="9"/>
      <c r="C509" s="9"/>
      <c r="D509" s="9"/>
    </row>
    <row r="510" spans="2:4" ht="18.75" customHeight="1">
      <c r="B510" s="9"/>
      <c r="C510" s="9"/>
      <c r="D510" s="9"/>
    </row>
    <row r="511" spans="2:4" ht="18.75" customHeight="1">
      <c r="B511" s="9"/>
      <c r="C511" s="9"/>
      <c r="D511" s="9"/>
    </row>
    <row r="512" spans="2:4" ht="18.75" customHeight="1">
      <c r="B512" s="9"/>
      <c r="C512" s="9"/>
      <c r="D512" s="9"/>
    </row>
    <row r="513" spans="2:4" ht="18.75" customHeight="1">
      <c r="B513" s="9"/>
      <c r="C513" s="9"/>
      <c r="D513" s="9"/>
    </row>
    <row r="514" spans="2:4" ht="18.75" customHeight="1">
      <c r="B514" s="9"/>
      <c r="C514" s="9"/>
      <c r="D514" s="9"/>
    </row>
    <row r="515" spans="2:4" ht="18.75" customHeight="1">
      <c r="B515" s="9"/>
      <c r="C515" s="9"/>
      <c r="D515" s="9"/>
    </row>
    <row r="516" spans="2:4" ht="18.75" customHeight="1">
      <c r="B516" s="9"/>
      <c r="C516" s="9"/>
      <c r="D516" s="9"/>
    </row>
    <row r="517" spans="2:4" ht="18.75" customHeight="1">
      <c r="B517" s="9"/>
      <c r="C517" s="9"/>
      <c r="D517" s="9"/>
    </row>
    <row r="518" spans="2:4" ht="18.75" customHeight="1">
      <c r="B518" s="9"/>
      <c r="C518" s="9"/>
      <c r="D518" s="9"/>
    </row>
    <row r="519" spans="2:4" ht="18.75" customHeight="1">
      <c r="B519" s="9"/>
      <c r="C519" s="9"/>
      <c r="D519" s="9"/>
    </row>
    <row r="520" spans="2:4" ht="18.75" customHeight="1">
      <c r="B520" s="9"/>
      <c r="C520" s="9"/>
      <c r="D520" s="9"/>
    </row>
    <row r="521" spans="2:4" ht="18.75" customHeight="1">
      <c r="B521" s="9"/>
      <c r="C521" s="9"/>
      <c r="D521" s="9"/>
    </row>
    <row r="522" spans="2:4" ht="18.75" customHeight="1">
      <c r="B522" s="9"/>
      <c r="C522" s="9"/>
      <c r="D522" s="9"/>
    </row>
    <row r="523" spans="2:4" ht="18.75" customHeight="1">
      <c r="B523" s="9"/>
      <c r="C523" s="9"/>
      <c r="D523" s="9"/>
    </row>
    <row r="524" spans="2:4" ht="18.75" customHeight="1">
      <c r="B524" s="9"/>
      <c r="C524" s="9"/>
      <c r="D524" s="9"/>
    </row>
    <row r="525" spans="2:4" ht="18.75" customHeight="1">
      <c r="B525" s="9"/>
      <c r="C525" s="9"/>
      <c r="D525" s="9"/>
    </row>
    <row r="526" spans="2:4" ht="18.75" customHeight="1">
      <c r="B526" s="9"/>
      <c r="C526" s="9"/>
      <c r="D526" s="9"/>
    </row>
    <row r="527" spans="2:4" ht="18.75" customHeight="1">
      <c r="B527" s="9"/>
      <c r="C527" s="9"/>
      <c r="D527" s="9"/>
    </row>
    <row r="528" spans="2:4" ht="18.75" customHeight="1">
      <c r="B528" s="9"/>
      <c r="C528" s="9"/>
      <c r="D528" s="9"/>
    </row>
    <row r="529" spans="2:4" ht="18.75" customHeight="1">
      <c r="B529" s="9"/>
      <c r="C529" s="9"/>
      <c r="D529" s="9"/>
    </row>
    <row r="530" spans="2:4" ht="18.75" customHeight="1">
      <c r="B530" s="9"/>
      <c r="C530" s="9"/>
      <c r="D530" s="9"/>
    </row>
    <row r="531" spans="2:4" ht="18.75" customHeight="1">
      <c r="B531" s="9"/>
      <c r="C531" s="9"/>
      <c r="D531" s="9"/>
    </row>
    <row r="532" spans="2:4" ht="18.75" customHeight="1">
      <c r="B532" s="9"/>
      <c r="C532" s="9"/>
      <c r="D532" s="9"/>
    </row>
    <row r="533" spans="2:4" ht="18.75" customHeight="1">
      <c r="B533" s="9"/>
      <c r="C533" s="9"/>
      <c r="D533" s="9"/>
    </row>
    <row r="534" spans="2:4" ht="18.75" customHeight="1">
      <c r="B534" s="9"/>
      <c r="C534" s="9"/>
      <c r="D534" s="9"/>
    </row>
    <row r="535" spans="2:4" ht="18.75" customHeight="1">
      <c r="B535" s="9"/>
      <c r="C535" s="9"/>
      <c r="D535" s="9"/>
    </row>
    <row r="536" spans="2:4" ht="18.75" customHeight="1">
      <c r="B536" s="9"/>
      <c r="C536" s="9"/>
      <c r="D536" s="9"/>
    </row>
    <row r="537" spans="2:4" ht="18.75" customHeight="1">
      <c r="B537" s="9"/>
      <c r="C537" s="9"/>
      <c r="D537" s="9"/>
    </row>
    <row r="538" spans="2:4" ht="18.75" customHeight="1">
      <c r="B538" s="9"/>
      <c r="C538" s="9"/>
      <c r="D538" s="9"/>
    </row>
    <row r="539" spans="2:4" ht="18.75" customHeight="1">
      <c r="B539" s="9"/>
      <c r="C539" s="9"/>
      <c r="D539" s="9"/>
    </row>
    <row r="540" spans="2:4" ht="18.75" customHeight="1">
      <c r="B540" s="9"/>
      <c r="C540" s="9"/>
      <c r="D540" s="9"/>
    </row>
    <row r="541" spans="2:4" ht="18.75" customHeight="1">
      <c r="B541" s="9"/>
      <c r="C541" s="9"/>
      <c r="D541" s="9"/>
    </row>
    <row r="542" spans="2:4" ht="18.75" customHeight="1">
      <c r="B542" s="9"/>
      <c r="C542" s="9"/>
      <c r="D542" s="9"/>
    </row>
    <row r="543" spans="2:4" ht="18.75" customHeight="1">
      <c r="B543" s="9"/>
      <c r="C543" s="9"/>
      <c r="D543" s="9"/>
    </row>
    <row r="544" spans="2:4" ht="18.75" customHeight="1">
      <c r="B544" s="9"/>
      <c r="C544" s="9"/>
      <c r="D544" s="9"/>
    </row>
    <row r="545" spans="2:4" ht="18.75" customHeight="1">
      <c r="B545" s="9"/>
      <c r="C545" s="9"/>
      <c r="D545" s="9"/>
    </row>
    <row r="546" spans="2:4" ht="18.75" customHeight="1">
      <c r="B546" s="9"/>
      <c r="C546" s="9"/>
      <c r="D546" s="9"/>
    </row>
    <row r="547" spans="2:4" ht="18.75" customHeight="1">
      <c r="B547" s="9"/>
      <c r="C547" s="30"/>
      <c r="D547" s="9"/>
    </row>
    <row r="548" spans="2:4" ht="18.75" customHeight="1">
      <c r="B548" s="9"/>
      <c r="C548" s="30"/>
      <c r="D548" s="9"/>
    </row>
    <row r="549" spans="2:4" ht="18.75" customHeight="1">
      <c r="B549" s="9"/>
      <c r="C549" s="30"/>
      <c r="D549" s="9"/>
    </row>
    <row r="550" spans="2:4" ht="18.75" customHeight="1">
      <c r="B550" s="9"/>
      <c r="C550" s="30"/>
      <c r="D550" s="9"/>
    </row>
    <row r="551" spans="2:4" ht="18.75" customHeight="1">
      <c r="B551" s="9"/>
      <c r="C551" s="30"/>
      <c r="D551" s="9"/>
    </row>
    <row r="552" spans="2:4" ht="18.75" customHeight="1">
      <c r="B552" s="9"/>
      <c r="C552" s="30"/>
      <c r="D552" s="9"/>
    </row>
    <row r="553" spans="2:4" ht="18.75" customHeight="1">
      <c r="B553" s="9"/>
      <c r="C553" s="30"/>
      <c r="D553" s="9"/>
    </row>
    <row r="554" spans="2:4" ht="18.75" customHeight="1">
      <c r="B554" s="9"/>
      <c r="C554" s="30"/>
      <c r="D554" s="9"/>
    </row>
    <row r="555" spans="2:4" ht="18.75" customHeight="1">
      <c r="B555" s="9"/>
      <c r="C555" s="30"/>
      <c r="D555" s="9"/>
    </row>
    <row r="556" spans="2:4" ht="18.75" customHeight="1">
      <c r="B556" s="9"/>
      <c r="C556" s="30"/>
      <c r="D556" s="9"/>
    </row>
    <row r="557" spans="2:4" ht="18.75" customHeight="1">
      <c r="B557" s="9"/>
      <c r="C557" s="30"/>
      <c r="D557" s="9"/>
    </row>
    <row r="558" spans="2:4" ht="18.75" customHeight="1">
      <c r="B558" s="9"/>
      <c r="C558" s="30"/>
      <c r="D558" s="9"/>
    </row>
    <row r="559" spans="2:4" ht="18.75" customHeight="1">
      <c r="B559" s="9"/>
      <c r="C559" s="30"/>
      <c r="D559" s="9"/>
    </row>
    <row r="560" spans="2:4" ht="18.75" customHeight="1">
      <c r="B560" s="9"/>
      <c r="C560" s="30"/>
      <c r="D560" s="9"/>
    </row>
    <row r="561" spans="2:4" ht="18.75" customHeight="1">
      <c r="B561" s="9"/>
      <c r="C561" s="30"/>
      <c r="D561" s="9"/>
    </row>
    <row r="562" spans="2:4" ht="18.75" customHeight="1">
      <c r="B562" s="9"/>
      <c r="C562" s="30"/>
      <c r="D562" s="9"/>
    </row>
    <row r="563" spans="2:4" ht="18.75" customHeight="1">
      <c r="B563" s="9"/>
      <c r="C563" s="30"/>
      <c r="D563" s="9"/>
    </row>
    <row r="564" spans="2:4" ht="18.75" customHeight="1">
      <c r="B564" s="9"/>
      <c r="C564" s="30"/>
      <c r="D564" s="9"/>
    </row>
    <row r="565" spans="2:4" ht="18.75" customHeight="1">
      <c r="B565" s="9"/>
      <c r="C565" s="30"/>
      <c r="D565" s="9"/>
    </row>
    <row r="566" spans="2:4" ht="18.75" customHeight="1">
      <c r="B566" s="9"/>
      <c r="C566" s="30"/>
      <c r="D566" s="9"/>
    </row>
    <row r="567" spans="2:4" ht="18.75" customHeight="1">
      <c r="B567" s="9"/>
      <c r="C567" s="30"/>
      <c r="D567" s="9"/>
    </row>
    <row r="568" spans="2:4" ht="18.75" customHeight="1">
      <c r="B568" s="9"/>
      <c r="C568" s="30"/>
      <c r="D568" s="9"/>
    </row>
    <row r="569" spans="2:4" ht="18.75" customHeight="1">
      <c r="B569" s="9"/>
      <c r="C569" s="30"/>
      <c r="D569" s="9"/>
    </row>
    <row r="570" spans="2:4" ht="18.75" customHeight="1">
      <c r="B570" s="9"/>
      <c r="C570" s="30"/>
      <c r="D570" s="9"/>
    </row>
    <row r="571" spans="2:4" ht="18.75" customHeight="1">
      <c r="B571" s="9"/>
      <c r="C571" s="30"/>
      <c r="D571" s="9"/>
    </row>
    <row r="572" spans="2:4" ht="18.75" customHeight="1">
      <c r="B572" s="9"/>
      <c r="C572" s="30"/>
      <c r="D572" s="9"/>
    </row>
    <row r="573" spans="2:4" ht="18.75" customHeight="1">
      <c r="B573" s="9"/>
      <c r="C573" s="30"/>
      <c r="D573" s="9"/>
    </row>
    <row r="574" spans="2:4" ht="18.75" customHeight="1">
      <c r="B574" s="9"/>
      <c r="C574" s="30"/>
      <c r="D574" s="9"/>
    </row>
    <row r="575" spans="2:4" ht="18.75" customHeight="1">
      <c r="B575" s="9"/>
      <c r="C575" s="30"/>
      <c r="D575" s="9"/>
    </row>
    <row r="576" spans="2:4" ht="18.75" customHeight="1">
      <c r="B576" s="9"/>
      <c r="C576" s="30"/>
      <c r="D576" s="9"/>
    </row>
    <row r="577" spans="2:4" ht="18.75" customHeight="1">
      <c r="B577" s="9"/>
      <c r="C577" s="30"/>
      <c r="D577" s="9"/>
    </row>
    <row r="578" spans="2:4" ht="18.75" customHeight="1">
      <c r="B578" s="9"/>
      <c r="C578" s="30"/>
      <c r="D578" s="9"/>
    </row>
    <row r="579" spans="2:4" ht="18.75" customHeight="1">
      <c r="B579" s="9"/>
      <c r="C579" s="30"/>
      <c r="D579" s="9"/>
    </row>
    <row r="580" spans="2:4" ht="18.75" customHeight="1">
      <c r="B580" s="9"/>
      <c r="C580" s="30"/>
      <c r="D580" s="9"/>
    </row>
    <row r="581" spans="2:4" ht="18.75" customHeight="1">
      <c r="B581" s="9"/>
      <c r="C581" s="30"/>
      <c r="D581" s="9"/>
    </row>
    <row r="582" spans="2:4" ht="18.75" customHeight="1">
      <c r="B582" s="9"/>
      <c r="C582" s="30"/>
      <c r="D582" s="9"/>
    </row>
    <row r="583" spans="2:4" ht="18.75" customHeight="1">
      <c r="B583" s="9"/>
      <c r="C583" s="30"/>
      <c r="D583" s="9"/>
    </row>
    <row r="584" spans="2:4" ht="18.75" customHeight="1">
      <c r="B584" s="9"/>
      <c r="C584" s="30"/>
      <c r="D584" s="9"/>
    </row>
    <row r="585" spans="2:4" ht="18.75" customHeight="1">
      <c r="B585" s="9"/>
      <c r="C585" s="30"/>
      <c r="D585" s="9"/>
    </row>
    <row r="586" spans="2:4" ht="18.75" customHeight="1">
      <c r="B586" s="9"/>
      <c r="C586" s="30"/>
      <c r="D586" s="9"/>
    </row>
    <row r="587" spans="2:4" ht="18.75" customHeight="1">
      <c r="B587" s="9"/>
      <c r="C587" s="30"/>
      <c r="D587" s="9"/>
    </row>
    <row r="588" spans="2:4" ht="18.75" customHeight="1">
      <c r="B588" s="9"/>
      <c r="C588" s="30"/>
      <c r="D588" s="9"/>
    </row>
    <row r="589" spans="2:4" ht="18.75" customHeight="1">
      <c r="B589" s="9"/>
      <c r="C589" s="30"/>
      <c r="D589" s="9"/>
    </row>
    <row r="590" spans="2:4" ht="18.75" customHeight="1">
      <c r="B590" s="9"/>
      <c r="C590" s="30"/>
      <c r="D590" s="9"/>
    </row>
    <row r="591" spans="2:4" ht="18.75" customHeight="1">
      <c r="B591" s="9"/>
      <c r="C591" s="30"/>
      <c r="D591" s="9"/>
    </row>
    <row r="592" spans="2:4" ht="18.75" customHeight="1">
      <c r="B592" s="9"/>
      <c r="C592" s="30"/>
      <c r="D592" s="9"/>
    </row>
    <row r="593" spans="2:4" ht="18.75" customHeight="1">
      <c r="B593" s="9"/>
      <c r="C593" s="30"/>
      <c r="D593" s="9"/>
    </row>
    <row r="594" spans="2:4" ht="18.75" customHeight="1">
      <c r="B594" s="9"/>
      <c r="C594" s="30"/>
      <c r="D594" s="9"/>
    </row>
    <row r="595" spans="2:4" ht="18.75" customHeight="1">
      <c r="B595" s="9"/>
      <c r="C595" s="30"/>
      <c r="D595" s="9"/>
    </row>
    <row r="596" spans="2:4" ht="18.75" customHeight="1">
      <c r="B596" s="9"/>
      <c r="C596" s="30"/>
      <c r="D596" s="9"/>
    </row>
    <row r="597" spans="2:4" ht="18.75" customHeight="1">
      <c r="B597" s="9"/>
      <c r="C597" s="30"/>
      <c r="D597" s="9"/>
    </row>
    <row r="598" spans="2:4" ht="18.75" customHeight="1">
      <c r="B598" s="9"/>
      <c r="C598" s="30"/>
      <c r="D598" s="9"/>
    </row>
    <row r="599" spans="2:4" ht="18.75" customHeight="1">
      <c r="B599" s="9"/>
      <c r="C599" s="30"/>
      <c r="D599" s="9"/>
    </row>
    <row r="600" spans="2:4" ht="18.75" customHeight="1">
      <c r="B600" s="9"/>
      <c r="C600" s="30"/>
      <c r="D600" s="9"/>
    </row>
    <row r="601" spans="2:4" ht="18.75" customHeight="1">
      <c r="B601" s="9"/>
      <c r="C601" s="30"/>
      <c r="D601" s="9"/>
    </row>
    <row r="602" spans="2:4" ht="18.75" customHeight="1">
      <c r="B602" s="9"/>
      <c r="C602" s="30"/>
      <c r="D602" s="9"/>
    </row>
    <row r="603" spans="2:4" ht="18.75" customHeight="1">
      <c r="B603" s="9"/>
      <c r="C603" s="30"/>
      <c r="D603" s="9"/>
    </row>
    <row r="604" spans="2:4" ht="18.75" customHeight="1">
      <c r="B604" s="9"/>
      <c r="C604" s="30"/>
      <c r="D604" s="9"/>
    </row>
    <row r="605" spans="2:4" ht="18.75" customHeight="1">
      <c r="B605" s="9"/>
      <c r="C605" s="30"/>
      <c r="D605" s="9"/>
    </row>
    <row r="606" spans="2:4" ht="18.75" customHeight="1">
      <c r="B606" s="9"/>
      <c r="C606" s="30"/>
      <c r="D606" s="9"/>
    </row>
    <row r="607" spans="2:4" ht="18.75" customHeight="1">
      <c r="B607" s="9"/>
      <c r="C607" s="30"/>
      <c r="D607" s="9"/>
    </row>
    <row r="608" spans="2:4" ht="18.75" customHeight="1">
      <c r="B608" s="9"/>
      <c r="C608" s="30"/>
      <c r="D608" s="9"/>
    </row>
    <row r="609" spans="2:4" ht="18.75" customHeight="1">
      <c r="B609" s="9"/>
      <c r="C609" s="30"/>
      <c r="D609" s="9"/>
    </row>
    <row r="610" spans="2:4" ht="18.75" customHeight="1">
      <c r="B610" s="9"/>
      <c r="C610" s="30"/>
      <c r="D610" s="9"/>
    </row>
    <row r="611" spans="2:4" ht="18.75" customHeight="1">
      <c r="B611" s="9"/>
      <c r="C611" s="30"/>
      <c r="D611" s="9"/>
    </row>
    <row r="612" spans="2:4" ht="18.75" customHeight="1">
      <c r="B612" s="9"/>
      <c r="C612" s="30"/>
      <c r="D612" s="9"/>
    </row>
    <row r="613" spans="2:4" ht="18.75" customHeight="1">
      <c r="B613" s="9"/>
      <c r="C613" s="30"/>
      <c r="D613" s="9"/>
    </row>
    <row r="614" spans="2:4" ht="18.75" customHeight="1">
      <c r="B614" s="9"/>
      <c r="C614" s="30"/>
      <c r="D614" s="9"/>
    </row>
    <row r="615" spans="2:4" ht="18.75" customHeight="1">
      <c r="B615" s="9"/>
      <c r="C615" s="30"/>
      <c r="D615" s="9"/>
    </row>
    <row r="616" spans="2:4" ht="18.75" customHeight="1">
      <c r="B616" s="9"/>
      <c r="C616" s="30"/>
      <c r="D616" s="9"/>
    </row>
    <row r="617" spans="2:4" ht="18.75" customHeight="1">
      <c r="B617" s="9"/>
      <c r="C617" s="30"/>
      <c r="D617" s="9"/>
    </row>
    <row r="618" spans="2:4" ht="18.75" customHeight="1">
      <c r="B618" s="9"/>
      <c r="C618" s="30"/>
      <c r="D618" s="9"/>
    </row>
    <row r="619" spans="2:4" ht="18.75" customHeight="1">
      <c r="B619" s="9"/>
      <c r="C619" s="30"/>
      <c r="D619" s="9"/>
    </row>
    <row r="620" spans="2:4" ht="18.75" customHeight="1">
      <c r="B620" s="9"/>
      <c r="C620" s="30"/>
      <c r="D620" s="9"/>
    </row>
    <row r="621" spans="2:4" ht="18.75" customHeight="1">
      <c r="B621" s="9"/>
      <c r="C621" s="30"/>
      <c r="D621" s="9"/>
    </row>
    <row r="622" spans="2:4" ht="18.75" customHeight="1">
      <c r="B622" s="9"/>
      <c r="C622" s="30"/>
      <c r="D622" s="9"/>
    </row>
    <row r="623" spans="2:4" ht="18.75" customHeight="1">
      <c r="B623" s="9"/>
      <c r="C623" s="30"/>
      <c r="D623" s="9"/>
    </row>
    <row r="624" spans="2:4" ht="18.75" customHeight="1">
      <c r="B624" s="9"/>
      <c r="C624" s="30"/>
      <c r="D624" s="9"/>
    </row>
    <row r="625" spans="2:4" ht="18.75" customHeight="1">
      <c r="B625" s="9"/>
      <c r="C625" s="30"/>
      <c r="D625" s="9"/>
    </row>
    <row r="626" spans="2:4" ht="18.75" customHeight="1">
      <c r="B626" s="9"/>
      <c r="C626" s="30"/>
      <c r="D626" s="9"/>
    </row>
    <row r="627" spans="2:4" ht="18.75" customHeight="1">
      <c r="B627" s="9"/>
      <c r="C627" s="30"/>
      <c r="D627" s="9"/>
    </row>
    <row r="628" spans="2:4" ht="18.75" customHeight="1">
      <c r="B628" s="9"/>
      <c r="C628" s="30"/>
      <c r="D628" s="9"/>
    </row>
    <row r="629" spans="2:4" ht="18.75" customHeight="1">
      <c r="B629" s="9"/>
      <c r="C629" s="30"/>
      <c r="D629" s="9"/>
    </row>
    <row r="630" spans="2:4" ht="18.75" customHeight="1">
      <c r="B630" s="9"/>
      <c r="C630" s="30"/>
      <c r="D630" s="9"/>
    </row>
    <row r="631" spans="2:4" ht="18.75" customHeight="1">
      <c r="B631" s="9"/>
      <c r="C631" s="30"/>
      <c r="D631" s="9"/>
    </row>
    <row r="632" spans="2:4" ht="18.75" customHeight="1">
      <c r="B632" s="9"/>
      <c r="C632" s="30"/>
      <c r="D632" s="9"/>
    </row>
    <row r="633" spans="2:4" ht="18.75" customHeight="1">
      <c r="B633" s="9"/>
      <c r="C633" s="30"/>
      <c r="D633" s="9"/>
    </row>
    <row r="634" spans="2:4" ht="18.75" customHeight="1">
      <c r="B634" s="9"/>
      <c r="C634" s="30"/>
      <c r="D634" s="9"/>
    </row>
    <row r="635" spans="2:4" ht="18.75" customHeight="1">
      <c r="B635" s="9"/>
      <c r="C635" s="30"/>
      <c r="D635" s="9"/>
    </row>
    <row r="636" spans="2:4" ht="18.75" customHeight="1">
      <c r="B636" s="9"/>
      <c r="C636" s="30"/>
      <c r="D636" s="9"/>
    </row>
    <row r="637" spans="2:4" ht="18.75" customHeight="1">
      <c r="B637" s="9"/>
      <c r="C637" s="30"/>
      <c r="D637" s="9"/>
    </row>
    <row r="638" spans="2:4" ht="18.75" customHeight="1">
      <c r="B638" s="9"/>
      <c r="C638" s="30"/>
      <c r="D638" s="9"/>
    </row>
    <row r="639" spans="2:4" ht="18.75" customHeight="1">
      <c r="B639" s="9"/>
      <c r="C639" s="30"/>
      <c r="D639" s="9"/>
    </row>
    <row r="640" spans="2:4" ht="18.75" customHeight="1">
      <c r="B640" s="9"/>
      <c r="C640" s="30"/>
      <c r="D640" s="9"/>
    </row>
    <row r="641" spans="1:4" ht="18.75" customHeight="1">
      <c r="A641" s="18"/>
      <c r="B641" s="18"/>
      <c r="C641" s="30"/>
      <c r="D641" s="9"/>
    </row>
    <row r="642" spans="1:4" ht="18.75" customHeight="1">
      <c r="A642" s="18"/>
      <c r="B642" s="18"/>
      <c r="C642" s="30"/>
      <c r="D642" s="9"/>
    </row>
    <row r="643" spans="1:4" ht="18.75" customHeight="1">
      <c r="A643" s="18"/>
      <c r="B643" s="18"/>
      <c r="C643" s="30"/>
      <c r="D643" s="9"/>
    </row>
    <row r="644" spans="1:4" ht="18.75" customHeight="1">
      <c r="A644" s="18"/>
      <c r="B644" s="18"/>
      <c r="C644" s="30"/>
      <c r="D644" s="9"/>
    </row>
    <row r="645" spans="1:4" ht="18.75" customHeight="1">
      <c r="A645" s="27"/>
      <c r="B645" s="27"/>
      <c r="C645" s="30"/>
      <c r="D645" s="9"/>
    </row>
    <row r="646" spans="1:4" ht="18.75" customHeight="1">
      <c r="A646" s="27"/>
      <c r="B646" s="27"/>
      <c r="C646" s="30"/>
      <c r="D646" s="9"/>
    </row>
    <row r="647" spans="1:4" ht="18.75" customHeight="1">
      <c r="A647" s="27"/>
      <c r="B647" s="27"/>
      <c r="C647" s="30"/>
      <c r="D647" s="9"/>
    </row>
    <row r="648" spans="1:4" ht="18.75" customHeight="1">
      <c r="A648" s="27"/>
      <c r="B648" s="27"/>
      <c r="C648" s="30"/>
      <c r="D648" s="9"/>
    </row>
    <row r="649" spans="1:4" ht="18.75" customHeight="1">
      <c r="A649" s="27"/>
      <c r="B649" s="27"/>
      <c r="C649" s="30"/>
      <c r="D649" s="9"/>
    </row>
    <row r="650" spans="1:4" ht="18.75" customHeight="1">
      <c r="A650" s="27"/>
      <c r="B650" s="27"/>
      <c r="C650" s="30"/>
      <c r="D650" s="9"/>
    </row>
    <row r="651" spans="1:4" ht="18.75" customHeight="1">
      <c r="A651" s="27"/>
      <c r="B651" s="27"/>
      <c r="C651" s="30"/>
      <c r="D651" s="9"/>
    </row>
    <row r="652" spans="1:4" ht="18.75" customHeight="1">
      <c r="A652" s="27"/>
      <c r="B652" s="27"/>
      <c r="C652" s="30"/>
      <c r="D652" s="9"/>
    </row>
    <row r="653" spans="1:4" ht="18.75" customHeight="1">
      <c r="A653" s="27"/>
      <c r="B653" s="27"/>
      <c r="C653" s="30"/>
      <c r="D653" s="9"/>
    </row>
    <row r="654" spans="1:4" ht="18.75" customHeight="1">
      <c r="A654" s="27"/>
      <c r="B654" s="27"/>
      <c r="C654" s="30"/>
      <c r="D654" s="9"/>
    </row>
    <row r="655" spans="1:4" ht="18.75" customHeight="1">
      <c r="A655" s="27"/>
      <c r="B655" s="27"/>
      <c r="C655" s="30"/>
      <c r="D655" s="9"/>
    </row>
    <row r="656" spans="1:4" ht="18.75" customHeight="1">
      <c r="A656" s="27"/>
      <c r="B656" s="27"/>
      <c r="C656" s="30"/>
      <c r="D656" s="9"/>
    </row>
    <row r="657" spans="1:4" ht="18.75" customHeight="1">
      <c r="A657" s="27"/>
      <c r="B657" s="27"/>
      <c r="C657" s="30"/>
      <c r="D657" s="9"/>
    </row>
    <row r="658" spans="1:4" ht="18.75" customHeight="1">
      <c r="A658" s="27"/>
      <c r="B658" s="27"/>
      <c r="C658" s="30"/>
      <c r="D658" s="9"/>
    </row>
    <row r="659" spans="1:4" ht="18.75" customHeight="1">
      <c r="A659" s="27"/>
      <c r="B659" s="27"/>
      <c r="C659" s="30"/>
      <c r="D659" s="9"/>
    </row>
    <row r="660" spans="1:4" ht="18.75" customHeight="1">
      <c r="A660" s="27"/>
      <c r="B660" s="27"/>
      <c r="C660" s="30"/>
      <c r="D660" s="9"/>
    </row>
    <row r="661" spans="1:4" ht="18.75" customHeight="1">
      <c r="A661" s="27"/>
      <c r="B661" s="27"/>
      <c r="C661" s="30"/>
      <c r="D661" s="9"/>
    </row>
    <row r="662" spans="1:4" ht="18.75" customHeight="1">
      <c r="A662" s="27"/>
      <c r="B662" s="27"/>
      <c r="C662" s="30"/>
      <c r="D662" s="9"/>
    </row>
    <row r="663" spans="1:4" ht="18.75" customHeight="1">
      <c r="A663" s="27"/>
      <c r="B663" s="27"/>
      <c r="C663" s="30"/>
      <c r="D663" s="9"/>
    </row>
    <row r="664" spans="1:4" ht="18.75" customHeight="1">
      <c r="A664" s="27"/>
      <c r="B664" s="27"/>
      <c r="C664" s="30"/>
      <c r="D664" s="9"/>
    </row>
    <row r="665" spans="1:4" ht="18.75" customHeight="1">
      <c r="A665" s="27"/>
      <c r="B665" s="27"/>
      <c r="C665" s="30"/>
      <c r="D665" s="9"/>
    </row>
    <row r="666" spans="1:4" ht="18.75" customHeight="1">
      <c r="A666" s="27"/>
      <c r="B666" s="37"/>
      <c r="C666" s="30"/>
      <c r="D666" s="9"/>
    </row>
    <row r="667" spans="1:4" ht="18.75" customHeight="1">
      <c r="A667" s="27"/>
      <c r="B667" s="38"/>
      <c r="C667" s="30"/>
      <c r="D667" s="9"/>
    </row>
    <row r="668" spans="1:4" ht="18.75" customHeight="1">
      <c r="A668" s="27"/>
      <c r="B668" s="27"/>
      <c r="C668" s="30"/>
      <c r="D668" s="9"/>
    </row>
    <row r="669" spans="1:4" ht="18.75" customHeight="1">
      <c r="A669" s="27"/>
      <c r="B669" s="27"/>
      <c r="C669" s="30"/>
      <c r="D669" s="9"/>
    </row>
    <row r="670" spans="1:4" ht="18.75" customHeight="1">
      <c r="A670" s="27"/>
      <c r="B670" s="27"/>
      <c r="C670" s="30"/>
      <c r="D670" s="9"/>
    </row>
    <row r="671" spans="1:4" ht="18.75" customHeight="1">
      <c r="A671" s="27"/>
      <c r="B671" s="27"/>
      <c r="C671" s="30"/>
      <c r="D671" s="9"/>
    </row>
    <row r="672" spans="1:4" ht="18.75" customHeight="1">
      <c r="A672" s="27"/>
      <c r="B672" s="27"/>
      <c r="C672" s="30"/>
      <c r="D672" s="9"/>
    </row>
    <row r="673" spans="1:4" ht="18.75" customHeight="1">
      <c r="A673" s="27"/>
      <c r="B673" s="27"/>
      <c r="C673" s="30"/>
      <c r="D673" s="9"/>
    </row>
    <row r="674" spans="1:4" ht="18.75" customHeight="1">
      <c r="A674" s="27"/>
      <c r="B674" s="27"/>
      <c r="C674" s="30"/>
      <c r="D674" s="9"/>
    </row>
    <row r="675" spans="1:4" ht="18.75" customHeight="1">
      <c r="A675" s="18"/>
      <c r="B675" s="18"/>
      <c r="C675" s="30"/>
      <c r="D675" s="9"/>
    </row>
    <row r="676" spans="1:4" ht="18.75" customHeight="1">
      <c r="A676" s="18"/>
      <c r="B676" s="18"/>
      <c r="C676" s="30"/>
      <c r="D676" s="9"/>
    </row>
    <row r="677" spans="1:4" ht="18.75" customHeight="1">
      <c r="A677" s="18"/>
      <c r="B677" s="18"/>
      <c r="C677" s="30"/>
      <c r="D677" s="9"/>
    </row>
    <row r="678" spans="1:4" ht="18.75" customHeight="1">
      <c r="A678" s="18"/>
      <c r="B678" s="18"/>
      <c r="C678" s="30"/>
      <c r="D678" s="9"/>
    </row>
    <row r="679" spans="1:4" ht="18.75" customHeight="1">
      <c r="A679" s="18"/>
      <c r="B679" s="18"/>
      <c r="C679" s="30"/>
      <c r="D679" s="9"/>
    </row>
    <row r="680" spans="1:4" ht="18.75" customHeight="1">
      <c r="A680" s="18"/>
      <c r="B680" s="18"/>
      <c r="C680" s="30"/>
      <c r="D680" s="9"/>
    </row>
    <row r="681" spans="2:4" ht="18.75" customHeight="1">
      <c r="B681" s="9"/>
      <c r="C681" s="30"/>
      <c r="D681" s="9"/>
    </row>
    <row r="682" spans="2:4" ht="18.75" customHeight="1">
      <c r="B682" s="9"/>
      <c r="C682" s="30"/>
      <c r="D682" s="9"/>
    </row>
    <row r="683" spans="2:4" ht="18.75" customHeight="1">
      <c r="B683" s="9"/>
      <c r="C683" s="30"/>
      <c r="D683" s="9"/>
    </row>
    <row r="684" spans="2:4" ht="18.75" customHeight="1">
      <c r="B684" s="9"/>
      <c r="C684" s="30"/>
      <c r="D684" s="9"/>
    </row>
    <row r="685" spans="2:4" ht="18.75" customHeight="1">
      <c r="B685" s="9"/>
      <c r="C685" s="30"/>
      <c r="D685" s="9"/>
    </row>
    <row r="686" spans="2:4" ht="18.75" customHeight="1">
      <c r="B686" s="9"/>
      <c r="C686" s="30"/>
      <c r="D686" s="9"/>
    </row>
    <row r="687" spans="2:4" ht="18.75" customHeight="1">
      <c r="B687" s="9"/>
      <c r="C687" s="30"/>
      <c r="D687" s="9"/>
    </row>
    <row r="688" spans="2:4" ht="18.75" customHeight="1">
      <c r="B688" s="9"/>
      <c r="C688" s="30"/>
      <c r="D688" s="9"/>
    </row>
    <row r="689" spans="2:4" ht="18.75" customHeight="1">
      <c r="B689" s="9"/>
      <c r="C689" s="30"/>
      <c r="D689" s="9"/>
    </row>
    <row r="690" spans="2:4" ht="18.75" customHeight="1">
      <c r="B690" s="9"/>
      <c r="C690" s="30"/>
      <c r="D690" s="9"/>
    </row>
    <row r="691" spans="2:4" ht="18.75" customHeight="1">
      <c r="B691" s="9"/>
      <c r="C691" s="30"/>
      <c r="D691" s="9"/>
    </row>
    <row r="692" spans="2:4" ht="18.75" customHeight="1">
      <c r="B692" s="9"/>
      <c r="C692" s="30"/>
      <c r="D692" s="9"/>
    </row>
    <row r="693" spans="2:4" ht="18.75" customHeight="1">
      <c r="B693" s="9"/>
      <c r="C693" s="30"/>
      <c r="D693" s="9"/>
    </row>
    <row r="694" spans="2:4" ht="18.75" customHeight="1">
      <c r="B694" s="9"/>
      <c r="C694" s="30"/>
      <c r="D694" s="9"/>
    </row>
    <row r="695" spans="2:4" ht="18.75" customHeight="1">
      <c r="B695" s="9"/>
      <c r="C695" s="30"/>
      <c r="D695" s="9"/>
    </row>
    <row r="696" spans="2:4" ht="18.75" customHeight="1">
      <c r="B696" s="9"/>
      <c r="C696" s="30"/>
      <c r="D696" s="9"/>
    </row>
    <row r="697" spans="2:4" ht="18.75" customHeight="1">
      <c r="B697" s="9"/>
      <c r="C697" s="30"/>
      <c r="D697" s="9"/>
    </row>
    <row r="698" spans="2:4" ht="18.75" customHeight="1">
      <c r="B698" s="9"/>
      <c r="C698" s="30"/>
      <c r="D698" s="9"/>
    </row>
    <row r="699" spans="2:4" ht="18.75" customHeight="1">
      <c r="B699" s="9"/>
      <c r="C699" s="30"/>
      <c r="D699" s="9"/>
    </row>
    <row r="700" spans="2:4" ht="18.75" customHeight="1">
      <c r="B700" s="9"/>
      <c r="C700" s="30"/>
      <c r="D700" s="9"/>
    </row>
    <row r="701" spans="2:4" ht="18.75" customHeight="1">
      <c r="B701" s="9"/>
      <c r="C701" s="30"/>
      <c r="D701" s="9"/>
    </row>
    <row r="702" spans="2:4" ht="18.75" customHeight="1">
      <c r="B702" s="9"/>
      <c r="C702" s="30"/>
      <c r="D702" s="9"/>
    </row>
    <row r="703" spans="2:4" ht="18.75" customHeight="1">
      <c r="B703" s="9"/>
      <c r="C703" s="30"/>
      <c r="D703" s="9"/>
    </row>
    <row r="704" spans="2:4" ht="18.75" customHeight="1">
      <c r="B704" s="9"/>
      <c r="C704" s="30"/>
      <c r="D704" s="9"/>
    </row>
    <row r="705" spans="2:4" ht="18.75" customHeight="1">
      <c r="B705" s="9"/>
      <c r="C705" s="30"/>
      <c r="D705" s="9"/>
    </row>
    <row r="706" spans="2:4" ht="18.75" customHeight="1">
      <c r="B706" s="9"/>
      <c r="C706" s="30"/>
      <c r="D706" s="9"/>
    </row>
    <row r="707" spans="2:4" ht="18.75" customHeight="1">
      <c r="B707" s="9"/>
      <c r="C707" s="30"/>
      <c r="D707" s="9"/>
    </row>
    <row r="708" spans="2:4" ht="18.75" customHeight="1">
      <c r="B708" s="9"/>
      <c r="C708" s="30"/>
      <c r="D708" s="9"/>
    </row>
    <row r="709" spans="2:4" ht="18.75" customHeight="1">
      <c r="B709" s="9"/>
      <c r="C709" s="30"/>
      <c r="D709" s="9"/>
    </row>
    <row r="710" spans="2:4" ht="18.75" customHeight="1">
      <c r="B710" s="9"/>
      <c r="C710" s="30"/>
      <c r="D710" s="9"/>
    </row>
    <row r="711" spans="2:4" ht="18.75" customHeight="1">
      <c r="B711" s="9"/>
      <c r="C711" s="30"/>
      <c r="D711" s="9"/>
    </row>
    <row r="712" spans="2:4" ht="18.75" customHeight="1">
      <c r="B712" s="9"/>
      <c r="C712" s="30"/>
      <c r="D712" s="9"/>
    </row>
    <row r="713" spans="2:4" ht="18.75" customHeight="1">
      <c r="B713" s="9"/>
      <c r="C713" s="30"/>
      <c r="D713" s="9"/>
    </row>
    <row r="714" spans="2:4" ht="18.75" customHeight="1">
      <c r="B714" s="9"/>
      <c r="C714" s="30"/>
      <c r="D714" s="9"/>
    </row>
    <row r="715" spans="2:4" ht="18.75" customHeight="1">
      <c r="B715" s="9"/>
      <c r="C715" s="30"/>
      <c r="D715" s="9"/>
    </row>
    <row r="716" spans="2:4" ht="18.75" customHeight="1">
      <c r="B716" s="9"/>
      <c r="C716" s="30"/>
      <c r="D716" s="9"/>
    </row>
    <row r="717" spans="2:4" ht="18.75" customHeight="1">
      <c r="B717" s="9"/>
      <c r="C717" s="30"/>
      <c r="D717" s="9"/>
    </row>
    <row r="718" spans="2:4" ht="18.75" customHeight="1">
      <c r="B718" s="9"/>
      <c r="C718" s="30"/>
      <c r="D718" s="9"/>
    </row>
    <row r="719" spans="2:4" ht="18.75" customHeight="1">
      <c r="B719" s="9"/>
      <c r="C719" s="30"/>
      <c r="D719" s="9"/>
    </row>
    <row r="720" spans="2:4" ht="18.75" customHeight="1">
      <c r="B720" s="9"/>
      <c r="C720" s="30"/>
      <c r="D720" s="9"/>
    </row>
    <row r="721" spans="2:4" ht="18.75" customHeight="1">
      <c r="B721" s="9"/>
      <c r="C721" s="30"/>
      <c r="D721" s="9"/>
    </row>
    <row r="722" spans="2:4" ht="18.75" customHeight="1">
      <c r="B722" s="9"/>
      <c r="C722" s="30"/>
      <c r="D722" s="9"/>
    </row>
    <row r="723" spans="2:4" ht="18.75" customHeight="1">
      <c r="B723" s="9"/>
      <c r="C723" s="30"/>
      <c r="D723" s="9"/>
    </row>
    <row r="724" spans="2:4" ht="18.75" customHeight="1">
      <c r="B724" s="9"/>
      <c r="C724" s="30"/>
      <c r="D724" s="9"/>
    </row>
    <row r="725" spans="2:4" ht="18.75" customHeight="1">
      <c r="B725" s="9"/>
      <c r="C725" s="30"/>
      <c r="D725" s="9"/>
    </row>
    <row r="726" spans="2:4" ht="18.75" customHeight="1">
      <c r="B726" s="9"/>
      <c r="C726" s="30"/>
      <c r="D726" s="9"/>
    </row>
    <row r="727" spans="2:4" ht="18.75" customHeight="1">
      <c r="B727" s="9"/>
      <c r="C727" s="30"/>
      <c r="D727" s="9"/>
    </row>
    <row r="728" spans="2:4" ht="18.75" customHeight="1">
      <c r="B728" s="9"/>
      <c r="C728" s="30"/>
      <c r="D728" s="9"/>
    </row>
    <row r="729" spans="2:4" ht="18.75" customHeight="1">
      <c r="B729" s="9"/>
      <c r="C729" s="30"/>
      <c r="D729" s="9"/>
    </row>
    <row r="730" spans="2:4" ht="18.75" customHeight="1">
      <c r="B730" s="9"/>
      <c r="C730" s="30"/>
      <c r="D730" s="9"/>
    </row>
    <row r="731" spans="2:4" ht="18.75" customHeight="1">
      <c r="B731" s="9"/>
      <c r="C731" s="30"/>
      <c r="D731" s="9"/>
    </row>
    <row r="732" spans="2:4" ht="18.75" customHeight="1">
      <c r="B732" s="9"/>
      <c r="C732" s="30"/>
      <c r="D732" s="9"/>
    </row>
    <row r="733" spans="2:4" ht="18.75" customHeight="1">
      <c r="B733" s="9"/>
      <c r="C733" s="30"/>
      <c r="D733" s="9"/>
    </row>
    <row r="734" spans="2:4" ht="18.75" customHeight="1">
      <c r="B734" s="9"/>
      <c r="C734" s="30"/>
      <c r="D734" s="9"/>
    </row>
    <row r="735" spans="2:4" ht="18.75" customHeight="1">
      <c r="B735" s="9"/>
      <c r="C735" s="30"/>
      <c r="D735" s="9"/>
    </row>
    <row r="736" spans="2:4" ht="18.75" customHeight="1">
      <c r="B736" s="9"/>
      <c r="C736" s="30"/>
      <c r="D736" s="9"/>
    </row>
    <row r="737" spans="2:4" ht="18.75" customHeight="1">
      <c r="B737" s="9"/>
      <c r="C737" s="30"/>
      <c r="D737" s="9"/>
    </row>
    <row r="738" spans="2:4" ht="18.75" customHeight="1">
      <c r="B738" s="9"/>
      <c r="C738" s="30"/>
      <c r="D738" s="9"/>
    </row>
    <row r="739" spans="2:4" ht="18.75" customHeight="1">
      <c r="B739" s="9"/>
      <c r="C739" s="30"/>
      <c r="D739" s="9"/>
    </row>
    <row r="740" spans="2:4" ht="18.75" customHeight="1">
      <c r="B740" s="9"/>
      <c r="C740" s="30"/>
      <c r="D740" s="9"/>
    </row>
    <row r="741" spans="2:4" ht="18.75" customHeight="1">
      <c r="B741" s="9"/>
      <c r="C741" s="30"/>
      <c r="D741" s="9"/>
    </row>
    <row r="742" spans="2:4" ht="18.75" customHeight="1">
      <c r="B742" s="9"/>
      <c r="C742" s="30"/>
      <c r="D742" s="9"/>
    </row>
    <row r="743" spans="2:4" ht="18.75" customHeight="1">
      <c r="B743" s="9"/>
      <c r="C743" s="30"/>
      <c r="D743" s="9"/>
    </row>
    <row r="744" spans="2:4" ht="18.75" customHeight="1">
      <c r="B744" s="9"/>
      <c r="C744" s="30"/>
      <c r="D744" s="9"/>
    </row>
    <row r="745" spans="2:4" ht="18.75" customHeight="1">
      <c r="B745" s="9"/>
      <c r="C745" s="30"/>
      <c r="D745" s="9"/>
    </row>
    <row r="746" spans="2:4" ht="18.75" customHeight="1">
      <c r="B746" s="9"/>
      <c r="C746" s="30"/>
      <c r="D746" s="9"/>
    </row>
    <row r="747" spans="2:4" ht="18.75" customHeight="1">
      <c r="B747" s="9"/>
      <c r="C747" s="30"/>
      <c r="D747" s="9"/>
    </row>
    <row r="748" spans="2:4" ht="18.75" customHeight="1">
      <c r="B748" s="9"/>
      <c r="C748" s="30"/>
      <c r="D748" s="9"/>
    </row>
    <row r="749" spans="2:4" ht="18.75" customHeight="1">
      <c r="B749" s="9"/>
      <c r="C749" s="30"/>
      <c r="D749" s="9"/>
    </row>
    <row r="750" spans="2:4" ht="18.75" customHeight="1">
      <c r="B750" s="9"/>
      <c r="C750" s="30"/>
      <c r="D750" s="9"/>
    </row>
    <row r="751" spans="2:4" ht="18.75" customHeight="1">
      <c r="B751" s="9"/>
      <c r="C751" s="30"/>
      <c r="D751" s="9"/>
    </row>
    <row r="752" spans="2:4" ht="18.75" customHeight="1">
      <c r="B752" s="9"/>
      <c r="C752" s="30"/>
      <c r="D752" s="9"/>
    </row>
    <row r="753" spans="2:4" ht="18.75" customHeight="1">
      <c r="B753" s="9"/>
      <c r="C753" s="30"/>
      <c r="D753" s="9"/>
    </row>
    <row r="754" spans="2:4" ht="18.75" customHeight="1">
      <c r="B754" s="9"/>
      <c r="C754" s="30"/>
      <c r="D754" s="9"/>
    </row>
    <row r="755" spans="2:4" ht="18.75" customHeight="1">
      <c r="B755" s="9"/>
      <c r="C755" s="30"/>
      <c r="D755" s="9"/>
    </row>
    <row r="756" spans="2:4" ht="18.75" customHeight="1">
      <c r="B756" s="9"/>
      <c r="C756" s="30"/>
      <c r="D756" s="9"/>
    </row>
    <row r="757" spans="2:4" ht="18.75" customHeight="1">
      <c r="B757" s="9"/>
      <c r="C757" s="30"/>
      <c r="D757" s="9"/>
    </row>
    <row r="758" spans="2:4" ht="18.75" customHeight="1">
      <c r="B758" s="9"/>
      <c r="C758" s="30"/>
      <c r="D758" s="9"/>
    </row>
    <row r="759" spans="2:4" ht="18.75" customHeight="1">
      <c r="B759" s="9"/>
      <c r="C759" s="30"/>
      <c r="D759" s="9"/>
    </row>
    <row r="760" spans="2:4" ht="18.75" customHeight="1">
      <c r="B760" s="9"/>
      <c r="C760" s="30"/>
      <c r="D760" s="9"/>
    </row>
    <row r="761" spans="2:4" ht="18.75" customHeight="1">
      <c r="B761" s="9"/>
      <c r="C761" s="30"/>
      <c r="D761" s="9"/>
    </row>
    <row r="762" spans="2:4" ht="18.75" customHeight="1">
      <c r="B762" s="9"/>
      <c r="C762" s="30"/>
      <c r="D762" s="9"/>
    </row>
    <row r="763" spans="2:4" ht="18.75" customHeight="1">
      <c r="B763" s="9"/>
      <c r="C763" s="30"/>
      <c r="D763" s="9"/>
    </row>
    <row r="764" spans="2:4" ht="18.75" customHeight="1">
      <c r="B764" s="9"/>
      <c r="C764" s="30"/>
      <c r="D764" s="9"/>
    </row>
    <row r="765" spans="2:4" ht="18.75" customHeight="1">
      <c r="B765" s="9"/>
      <c r="C765" s="30"/>
      <c r="D765" s="9"/>
    </row>
    <row r="766" spans="2:4" ht="18.75" customHeight="1">
      <c r="B766" s="9"/>
      <c r="C766" s="30"/>
      <c r="D766" s="9"/>
    </row>
    <row r="767" spans="2:4" ht="18.75" customHeight="1">
      <c r="B767" s="9"/>
      <c r="C767" s="30"/>
      <c r="D767" s="9"/>
    </row>
    <row r="768" spans="2:4" ht="18.75" customHeight="1">
      <c r="B768" s="9"/>
      <c r="C768" s="30"/>
      <c r="D768" s="9"/>
    </row>
    <row r="769" spans="2:4" ht="18.75" customHeight="1">
      <c r="B769" s="9"/>
      <c r="C769" s="30"/>
      <c r="D769" s="9"/>
    </row>
    <row r="770" spans="2:4" ht="18.75" customHeight="1">
      <c r="B770" s="9"/>
      <c r="C770" s="30"/>
      <c r="D770" s="9"/>
    </row>
    <row r="771" spans="2:4" ht="18.75" customHeight="1">
      <c r="B771" s="9"/>
      <c r="C771" s="30"/>
      <c r="D771" s="9"/>
    </row>
    <row r="772" spans="2:4" ht="18.75" customHeight="1">
      <c r="B772" s="9"/>
      <c r="C772" s="30"/>
      <c r="D772" s="9"/>
    </row>
    <row r="773" spans="2:4" ht="18.75" customHeight="1">
      <c r="B773" s="9"/>
      <c r="C773" s="30"/>
      <c r="D773" s="9"/>
    </row>
    <row r="774" spans="2:4" ht="18.75" customHeight="1">
      <c r="B774" s="9"/>
      <c r="C774" s="30"/>
      <c r="D774" s="9"/>
    </row>
    <row r="775" spans="2:4" ht="18.75" customHeight="1">
      <c r="B775" s="9"/>
      <c r="C775" s="30"/>
      <c r="D775" s="9"/>
    </row>
    <row r="776" spans="2:4" ht="18.75" customHeight="1">
      <c r="B776" s="9"/>
      <c r="C776" s="30"/>
      <c r="D776" s="9"/>
    </row>
    <row r="777" spans="2:4" ht="18.75" customHeight="1">
      <c r="B777" s="9"/>
      <c r="C777" s="30"/>
      <c r="D777" s="9"/>
    </row>
    <row r="778" spans="2:4" ht="18.75" customHeight="1">
      <c r="B778" s="9"/>
      <c r="C778" s="30"/>
      <c r="D778" s="9"/>
    </row>
    <row r="779" spans="2:4" ht="18.75" customHeight="1">
      <c r="B779" s="9"/>
      <c r="C779" s="30"/>
      <c r="D779" s="9"/>
    </row>
    <row r="780" spans="2:4" ht="18.75" customHeight="1">
      <c r="B780" s="9"/>
      <c r="C780" s="30"/>
      <c r="D780" s="9"/>
    </row>
    <row r="781" spans="2:4" ht="18.75" customHeight="1">
      <c r="B781" s="9"/>
      <c r="C781" s="30"/>
      <c r="D781" s="9"/>
    </row>
    <row r="782" spans="2:4" ht="18.75" customHeight="1">
      <c r="B782" s="9"/>
      <c r="C782" s="30"/>
      <c r="D782" s="9"/>
    </row>
    <row r="783" spans="2:4" ht="18.75" customHeight="1">
      <c r="B783" s="9"/>
      <c r="C783" s="30"/>
      <c r="D783" s="9"/>
    </row>
    <row r="784" spans="2:4" ht="18.75" customHeight="1">
      <c r="B784" s="9"/>
      <c r="C784" s="30"/>
      <c r="D784" s="9"/>
    </row>
    <row r="785" spans="2:4" ht="18.75" customHeight="1">
      <c r="B785" s="9"/>
      <c r="C785" s="30"/>
      <c r="D785" s="9"/>
    </row>
    <row r="786" spans="2:4" ht="18.75" customHeight="1">
      <c r="B786" s="9"/>
      <c r="C786" s="30"/>
      <c r="D786" s="9"/>
    </row>
    <row r="787" spans="2:4" ht="18.75" customHeight="1">
      <c r="B787" s="9"/>
      <c r="C787" s="30"/>
      <c r="D787" s="9"/>
    </row>
    <row r="788" spans="2:4" ht="18.75" customHeight="1">
      <c r="B788" s="9"/>
      <c r="C788" s="30"/>
      <c r="D788" s="9"/>
    </row>
    <row r="789" spans="2:4" ht="18.75" customHeight="1">
      <c r="B789" s="9"/>
      <c r="C789" s="30"/>
      <c r="D789" s="9"/>
    </row>
    <row r="790" spans="2:4" ht="18.75" customHeight="1">
      <c r="B790" s="9"/>
      <c r="C790" s="30"/>
      <c r="D790" s="9"/>
    </row>
    <row r="791" spans="2:4" ht="18.75" customHeight="1">
      <c r="B791" s="9"/>
      <c r="C791" s="30"/>
      <c r="D791" s="9"/>
    </row>
    <row r="792" spans="2:4" ht="18.75" customHeight="1">
      <c r="B792" s="9"/>
      <c r="C792" s="30"/>
      <c r="D792" s="9"/>
    </row>
    <row r="793" spans="2:4" ht="18.75" customHeight="1">
      <c r="B793" s="9"/>
      <c r="C793" s="30"/>
      <c r="D793" s="9"/>
    </row>
    <row r="794" spans="2:4" ht="18.75" customHeight="1">
      <c r="B794" s="9"/>
      <c r="C794" s="30"/>
      <c r="D794" s="9"/>
    </row>
    <row r="795" spans="2:4" ht="18.75" customHeight="1">
      <c r="B795" s="9"/>
      <c r="C795" s="30"/>
      <c r="D795" s="9"/>
    </row>
    <row r="796" spans="2:4" ht="18.75" customHeight="1">
      <c r="B796" s="9"/>
      <c r="C796" s="30"/>
      <c r="D796" s="9"/>
    </row>
    <row r="797" spans="2:4" ht="18.75" customHeight="1">
      <c r="B797" s="9"/>
      <c r="C797" s="30"/>
      <c r="D797" s="9"/>
    </row>
    <row r="798" spans="2:4" ht="18.75" customHeight="1">
      <c r="B798" s="9"/>
      <c r="C798" s="30"/>
      <c r="D798" s="9"/>
    </row>
    <row r="799" spans="2:4" ht="18.75" customHeight="1">
      <c r="B799" s="9"/>
      <c r="C799" s="30"/>
      <c r="D799" s="9"/>
    </row>
    <row r="800" spans="2:4" ht="18.75" customHeight="1">
      <c r="B800" s="9"/>
      <c r="C800" s="30"/>
      <c r="D800" s="9"/>
    </row>
    <row r="801" spans="2:4" ht="18.75" customHeight="1">
      <c r="B801" s="9"/>
      <c r="C801" s="30"/>
      <c r="D801" s="9"/>
    </row>
    <row r="802" spans="2:4" ht="18.75" customHeight="1">
      <c r="B802" s="9"/>
      <c r="C802" s="30"/>
      <c r="D802" s="9"/>
    </row>
    <row r="803" spans="2:4" ht="18.75" customHeight="1">
      <c r="B803" s="9"/>
      <c r="C803" s="30"/>
      <c r="D803" s="9"/>
    </row>
    <row r="804" spans="2:4" ht="18.75" customHeight="1">
      <c r="B804" s="9"/>
      <c r="C804" s="30"/>
      <c r="D804" s="9"/>
    </row>
    <row r="805" spans="2:4" ht="18.75" customHeight="1">
      <c r="B805" s="9"/>
      <c r="C805" s="30"/>
      <c r="D805" s="9"/>
    </row>
    <row r="806" spans="2:4" ht="18.75" customHeight="1">
      <c r="B806" s="9"/>
      <c r="C806" s="30"/>
      <c r="D806" s="9"/>
    </row>
    <row r="807" spans="2:4" ht="18.75" customHeight="1">
      <c r="B807" s="9"/>
      <c r="C807" s="30"/>
      <c r="D807" s="9"/>
    </row>
    <row r="808" spans="2:4" ht="18.75" customHeight="1">
      <c r="B808" s="9"/>
      <c r="C808" s="30"/>
      <c r="D808" s="9"/>
    </row>
    <row r="809" spans="2:4" ht="18.75" customHeight="1">
      <c r="B809" s="9"/>
      <c r="C809" s="30"/>
      <c r="D809" s="9"/>
    </row>
    <row r="810" spans="2:4" ht="18.75" customHeight="1">
      <c r="B810" s="9"/>
      <c r="C810" s="30"/>
      <c r="D810" s="9"/>
    </row>
    <row r="811" spans="2:4" ht="18.75" customHeight="1">
      <c r="B811" s="9"/>
      <c r="C811" s="30"/>
      <c r="D811" s="9"/>
    </row>
    <row r="812" spans="2:4" ht="18.75" customHeight="1">
      <c r="B812" s="9"/>
      <c r="C812" s="30"/>
      <c r="D812" s="9"/>
    </row>
    <row r="813" spans="2:4" ht="18.75" customHeight="1">
      <c r="B813" s="9"/>
      <c r="C813" s="30"/>
      <c r="D813" s="9"/>
    </row>
    <row r="814" spans="2:4" ht="18.75" customHeight="1">
      <c r="B814" s="9"/>
      <c r="C814" s="30"/>
      <c r="D814" s="9"/>
    </row>
    <row r="815" spans="2:4" ht="18.75" customHeight="1">
      <c r="B815" s="9"/>
      <c r="C815" s="30"/>
      <c r="D815" s="9"/>
    </row>
    <row r="816" spans="2:4" ht="18.75" customHeight="1">
      <c r="B816" s="9"/>
      <c r="C816" s="30"/>
      <c r="D816" s="9"/>
    </row>
    <row r="817" spans="2:4" ht="18.75" customHeight="1">
      <c r="B817" s="9"/>
      <c r="C817" s="30"/>
      <c r="D817" s="9"/>
    </row>
    <row r="818" spans="2:4" ht="18.75" customHeight="1">
      <c r="B818" s="9"/>
      <c r="C818" s="30"/>
      <c r="D818" s="9"/>
    </row>
    <row r="819" spans="2:4" ht="18.75" customHeight="1">
      <c r="B819" s="9"/>
      <c r="C819" s="30"/>
      <c r="D819" s="9"/>
    </row>
    <row r="820" spans="2:4" ht="18.75" customHeight="1">
      <c r="B820" s="9"/>
      <c r="C820" s="30"/>
      <c r="D820" s="9"/>
    </row>
    <row r="821" spans="2:4" ht="18.75" customHeight="1">
      <c r="B821" s="9"/>
      <c r="C821" s="30"/>
      <c r="D821" s="9"/>
    </row>
    <row r="822" spans="2:4" ht="18.75" customHeight="1">
      <c r="B822" s="9"/>
      <c r="C822" s="30"/>
      <c r="D822" s="9"/>
    </row>
    <row r="823" spans="2:4" ht="18.75" customHeight="1">
      <c r="B823" s="9"/>
      <c r="C823" s="30"/>
      <c r="D823" s="9"/>
    </row>
    <row r="824" spans="2:4" ht="18.75" customHeight="1">
      <c r="B824" s="9"/>
      <c r="C824" s="30"/>
      <c r="D824" s="9"/>
    </row>
    <row r="825" spans="2:4" ht="18.75" customHeight="1">
      <c r="B825" s="9"/>
      <c r="C825" s="30"/>
      <c r="D825" s="9"/>
    </row>
    <row r="826" spans="2:4" ht="18.75" customHeight="1">
      <c r="B826" s="9"/>
      <c r="C826" s="30"/>
      <c r="D826" s="9"/>
    </row>
    <row r="827" spans="2:4" ht="18.75" customHeight="1">
      <c r="B827" s="9"/>
      <c r="C827" s="30"/>
      <c r="D827" s="9"/>
    </row>
    <row r="828" spans="2:4" ht="18.75" customHeight="1">
      <c r="B828" s="9"/>
      <c r="C828" s="30"/>
      <c r="D828" s="9"/>
    </row>
    <row r="829" spans="2:4" ht="18.75" customHeight="1">
      <c r="B829" s="9"/>
      <c r="C829" s="30"/>
      <c r="D829" s="9"/>
    </row>
    <row r="830" spans="2:4" ht="18.75" customHeight="1">
      <c r="B830" s="9"/>
      <c r="C830" s="30"/>
      <c r="D830" s="9"/>
    </row>
    <row r="831" spans="2:4" ht="18.75" customHeight="1">
      <c r="B831" s="9"/>
      <c r="C831" s="30"/>
      <c r="D831" s="9"/>
    </row>
    <row r="832" spans="2:4" ht="18.75" customHeight="1">
      <c r="B832" s="9"/>
      <c r="C832" s="30"/>
      <c r="D832" s="9"/>
    </row>
    <row r="833" spans="2:4" ht="18.75" customHeight="1">
      <c r="B833" s="9"/>
      <c r="C833" s="30"/>
      <c r="D833" s="9"/>
    </row>
    <row r="834" spans="2:4" ht="18.75" customHeight="1">
      <c r="B834" s="9"/>
      <c r="C834" s="30"/>
      <c r="D834" s="9"/>
    </row>
    <row r="835" spans="2:4" ht="18.75" customHeight="1">
      <c r="B835" s="9"/>
      <c r="C835" s="30"/>
      <c r="D835" s="9"/>
    </row>
    <row r="836" spans="2:4" ht="18.75" customHeight="1">
      <c r="B836" s="9"/>
      <c r="C836" s="30"/>
      <c r="D836" s="9"/>
    </row>
    <row r="837" spans="2:4" ht="18.75" customHeight="1">
      <c r="B837" s="9"/>
      <c r="C837" s="30"/>
      <c r="D837" s="9"/>
    </row>
    <row r="838" spans="2:4" ht="18.75" customHeight="1">
      <c r="B838" s="9"/>
      <c r="C838" s="30"/>
      <c r="D838" s="9"/>
    </row>
    <row r="839" spans="2:4" ht="18.75" customHeight="1">
      <c r="B839" s="9"/>
      <c r="C839" s="30"/>
      <c r="D839" s="9"/>
    </row>
    <row r="840" spans="2:4" ht="18.75" customHeight="1">
      <c r="B840" s="9"/>
      <c r="C840" s="30"/>
      <c r="D840" s="9"/>
    </row>
    <row r="841" spans="2:4" ht="18.75" customHeight="1">
      <c r="B841" s="9"/>
      <c r="C841" s="30"/>
      <c r="D841" s="9"/>
    </row>
    <row r="842" spans="2:4" ht="18.75" customHeight="1">
      <c r="B842" s="9"/>
      <c r="C842" s="30"/>
      <c r="D842" s="9"/>
    </row>
    <row r="843" spans="2:4" ht="18.75" customHeight="1">
      <c r="B843" s="9"/>
      <c r="C843" s="30"/>
      <c r="D843" s="9"/>
    </row>
    <row r="844" spans="2:4" ht="18.75" customHeight="1">
      <c r="B844" s="9"/>
      <c r="C844" s="30"/>
      <c r="D844" s="9"/>
    </row>
    <row r="845" spans="2:4" ht="18.75" customHeight="1">
      <c r="B845" s="9"/>
      <c r="C845" s="30"/>
      <c r="D845" s="9"/>
    </row>
    <row r="846" spans="2:4" ht="18.75" customHeight="1">
      <c r="B846" s="9"/>
      <c r="C846" s="30"/>
      <c r="D846" s="9"/>
    </row>
    <row r="847" spans="2:4" ht="18.75" customHeight="1">
      <c r="B847" s="9"/>
      <c r="C847" s="30"/>
      <c r="D847" s="9"/>
    </row>
    <row r="848" spans="2:4" ht="18.75" customHeight="1">
      <c r="B848" s="9"/>
      <c r="C848" s="30"/>
      <c r="D848" s="9"/>
    </row>
    <row r="849" spans="2:4" ht="18.75" customHeight="1">
      <c r="B849" s="9"/>
      <c r="C849" s="30"/>
      <c r="D849" s="9"/>
    </row>
    <row r="850" spans="2:4" ht="18.75" customHeight="1">
      <c r="B850" s="9"/>
      <c r="C850" s="30"/>
      <c r="D850" s="9"/>
    </row>
    <row r="851" spans="2:4" ht="18.75" customHeight="1">
      <c r="B851" s="9"/>
      <c r="C851" s="30"/>
      <c r="D851" s="9"/>
    </row>
    <row r="852" spans="2:4" ht="18.75" customHeight="1">
      <c r="B852" s="9"/>
      <c r="C852" s="30"/>
      <c r="D852" s="9"/>
    </row>
    <row r="853" spans="2:4" ht="18.75" customHeight="1">
      <c r="B853" s="9"/>
      <c r="C853" s="30"/>
      <c r="D853" s="9"/>
    </row>
    <row r="854" spans="2:4" ht="18.75" customHeight="1">
      <c r="B854" s="9"/>
      <c r="C854" s="30"/>
      <c r="D854" s="9"/>
    </row>
    <row r="855" spans="2:4" ht="18.75" customHeight="1">
      <c r="B855" s="9"/>
      <c r="C855" s="30"/>
      <c r="D855" s="9"/>
    </row>
    <row r="856" spans="2:4" ht="18.75" customHeight="1">
      <c r="B856" s="9"/>
      <c r="C856" s="30"/>
      <c r="D856" s="9"/>
    </row>
    <row r="857" spans="2:4" ht="18.75" customHeight="1">
      <c r="B857" s="9"/>
      <c r="C857" s="30"/>
      <c r="D857" s="9"/>
    </row>
    <row r="858" spans="2:4" ht="18.75" customHeight="1">
      <c r="B858" s="9"/>
      <c r="C858" s="30"/>
      <c r="D858" s="9"/>
    </row>
    <row r="859" spans="2:4" ht="18.75" customHeight="1">
      <c r="B859" s="9"/>
      <c r="C859" s="30"/>
      <c r="D859" s="9"/>
    </row>
    <row r="860" spans="2:4" ht="18.75" customHeight="1">
      <c r="B860" s="9"/>
      <c r="C860" s="30"/>
      <c r="D860" s="9"/>
    </row>
    <row r="861" spans="2:4" ht="18.75" customHeight="1">
      <c r="B861" s="9"/>
      <c r="C861" s="30"/>
      <c r="D861" s="9"/>
    </row>
    <row r="862" spans="2:4" ht="18.75" customHeight="1">
      <c r="B862" s="9"/>
      <c r="C862" s="30"/>
      <c r="D862" s="9"/>
    </row>
    <row r="863" spans="2:4" ht="18.75" customHeight="1">
      <c r="B863" s="9"/>
      <c r="C863" s="30"/>
      <c r="D863" s="9"/>
    </row>
    <row r="864" spans="2:4" ht="18.75" customHeight="1">
      <c r="B864" s="9"/>
      <c r="C864" s="30"/>
      <c r="D864" s="9"/>
    </row>
    <row r="865" spans="2:4" ht="18.75" customHeight="1">
      <c r="B865" s="9"/>
      <c r="C865" s="30"/>
      <c r="D865" s="9"/>
    </row>
    <row r="866" spans="2:4" ht="18.75" customHeight="1">
      <c r="B866" s="9"/>
      <c r="C866" s="30"/>
      <c r="D866" s="9"/>
    </row>
    <row r="867" spans="2:4" ht="18.75" customHeight="1">
      <c r="B867" s="9"/>
      <c r="C867" s="30"/>
      <c r="D867" s="9"/>
    </row>
    <row r="868" spans="2:4" ht="18.75" customHeight="1">
      <c r="B868" s="9"/>
      <c r="C868" s="30"/>
      <c r="D868" s="9"/>
    </row>
    <row r="869" spans="2:4" ht="18.75" customHeight="1">
      <c r="B869" s="9"/>
      <c r="C869" s="30"/>
      <c r="D869" s="9"/>
    </row>
    <row r="870" spans="2:4" ht="18.75" customHeight="1">
      <c r="B870" s="9"/>
      <c r="C870" s="30"/>
      <c r="D870" s="9"/>
    </row>
    <row r="871" spans="2:4" ht="18.75" customHeight="1">
      <c r="B871" s="9"/>
      <c r="C871" s="30"/>
      <c r="D871" s="9"/>
    </row>
    <row r="872" spans="2:4" ht="18.75" customHeight="1">
      <c r="B872" s="9"/>
      <c r="C872" s="30"/>
      <c r="D872" s="9"/>
    </row>
    <row r="873" spans="2:4" ht="18.75" customHeight="1">
      <c r="B873" s="9"/>
      <c r="C873" s="30"/>
      <c r="D873" s="9"/>
    </row>
    <row r="874" spans="2:4" ht="18.75" customHeight="1">
      <c r="B874" s="9"/>
      <c r="C874" s="30"/>
      <c r="D874" s="9"/>
    </row>
    <row r="875" spans="2:4" ht="18.75" customHeight="1">
      <c r="B875" s="9"/>
      <c r="C875" s="30"/>
      <c r="D875" s="9"/>
    </row>
    <row r="876" spans="2:4" ht="18.75" customHeight="1">
      <c r="B876" s="9"/>
      <c r="C876" s="30"/>
      <c r="D876" s="9"/>
    </row>
    <row r="877" spans="2:4" ht="18.75" customHeight="1">
      <c r="B877" s="9"/>
      <c r="C877" s="30"/>
      <c r="D877" s="9"/>
    </row>
    <row r="878" spans="2:4" ht="18.75" customHeight="1">
      <c r="B878" s="9"/>
      <c r="C878" s="30"/>
      <c r="D878" s="9"/>
    </row>
    <row r="879" spans="2:4" ht="18.75" customHeight="1">
      <c r="B879" s="9"/>
      <c r="C879" s="30"/>
      <c r="D879" s="9"/>
    </row>
    <row r="880" spans="2:4" ht="18.75" customHeight="1">
      <c r="B880" s="9"/>
      <c r="C880" s="30"/>
      <c r="D880" s="9"/>
    </row>
    <row r="881" spans="2:4" ht="18.75" customHeight="1">
      <c r="B881" s="9"/>
      <c r="C881" s="30"/>
      <c r="D881" s="9"/>
    </row>
    <row r="882" spans="2:4" ht="18.75" customHeight="1">
      <c r="B882" s="9"/>
      <c r="C882" s="30"/>
      <c r="D882" s="9"/>
    </row>
  </sheetData>
  <mergeCells count="19">
    <mergeCell ref="A89:D89"/>
    <mergeCell ref="A90:D90"/>
    <mergeCell ref="B70:C70"/>
    <mergeCell ref="A55:D55"/>
    <mergeCell ref="B68:C68"/>
    <mergeCell ref="B59:C59"/>
    <mergeCell ref="A63:D63"/>
    <mergeCell ref="A44:D44"/>
    <mergeCell ref="A54:D54"/>
    <mergeCell ref="A62:D62"/>
    <mergeCell ref="A3:D3"/>
    <mergeCell ref="A42:D42"/>
    <mergeCell ref="A45:D45"/>
    <mergeCell ref="A46:D46"/>
    <mergeCell ref="A43:D43"/>
    <mergeCell ref="A1:D1"/>
    <mergeCell ref="A2:D2"/>
    <mergeCell ref="A38:D38"/>
    <mergeCell ref="A39:D39"/>
  </mergeCells>
  <printOptions/>
  <pageMargins left="0.43" right="0.3" top="0.17" bottom="0.21" header="0.15748031496062992" footer="0.17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4"/>
  <sheetViews>
    <sheetView view="pageBreakPreview" zoomScaleSheetLayoutView="100" workbookViewId="0" topLeftCell="A136">
      <selection activeCell="C143" sqref="C143"/>
    </sheetView>
  </sheetViews>
  <sheetFormatPr defaultColWidth="9.140625" defaultRowHeight="19.5" customHeight="1"/>
  <cols>
    <col min="1" max="1" width="12.28125" style="7" customWidth="1"/>
    <col min="2" max="2" width="11.7109375" style="3" customWidth="1"/>
    <col min="3" max="3" width="52.8515625" style="3" customWidth="1"/>
    <col min="4" max="4" width="11.140625" style="4" customWidth="1"/>
    <col min="5" max="5" width="12.421875" style="7" customWidth="1"/>
    <col min="6" max="6" width="11.421875" style="3" customWidth="1"/>
    <col min="7" max="7" width="20.8515625" style="3" customWidth="1"/>
    <col min="8" max="8" width="45.7109375" style="3" customWidth="1"/>
    <col min="9" max="16384" width="9.140625" style="3" customWidth="1"/>
  </cols>
  <sheetData>
    <row r="1" spans="1:5" ht="19.5" customHeight="1">
      <c r="A1" s="39" t="s">
        <v>54</v>
      </c>
      <c r="B1" s="39"/>
      <c r="C1" s="340" t="s">
        <v>143</v>
      </c>
      <c r="D1" s="340"/>
      <c r="E1" s="340"/>
    </row>
    <row r="2" spans="1:5" ht="19.5" customHeight="1">
      <c r="A2" s="333" t="s">
        <v>40</v>
      </c>
      <c r="B2" s="333"/>
      <c r="C2" s="333"/>
      <c r="D2" s="333"/>
      <c r="E2" s="333"/>
    </row>
    <row r="3" spans="1:5" ht="19.5" customHeight="1">
      <c r="A3" s="333" t="s">
        <v>350</v>
      </c>
      <c r="B3" s="333"/>
      <c r="C3" s="333"/>
      <c r="D3" s="333"/>
      <c r="E3" s="333"/>
    </row>
    <row r="4" spans="1:5" ht="19.5" customHeight="1">
      <c r="A4" s="335" t="s">
        <v>41</v>
      </c>
      <c r="B4" s="336"/>
      <c r="C4" s="337" t="s">
        <v>44</v>
      </c>
      <c r="D4" s="15"/>
      <c r="E4" s="41" t="s">
        <v>47</v>
      </c>
    </row>
    <row r="5" spans="1:5" ht="19.5" customHeight="1">
      <c r="A5" s="42" t="s">
        <v>42</v>
      </c>
      <c r="B5" s="43" t="s">
        <v>43</v>
      </c>
      <c r="C5" s="338"/>
      <c r="D5" s="19" t="s">
        <v>45</v>
      </c>
      <c r="E5" s="42" t="s">
        <v>43</v>
      </c>
    </row>
    <row r="6" spans="1:5" ht="19.5" customHeight="1">
      <c r="A6" s="44" t="s">
        <v>48</v>
      </c>
      <c r="B6" s="45" t="s">
        <v>48</v>
      </c>
      <c r="C6" s="339"/>
      <c r="D6" s="19" t="s">
        <v>46</v>
      </c>
      <c r="E6" s="44" t="s">
        <v>48</v>
      </c>
    </row>
    <row r="7" spans="1:5" ht="19.5" customHeight="1">
      <c r="A7" s="21"/>
      <c r="B7" s="46">
        <v>25165827.62</v>
      </c>
      <c r="C7" s="47" t="s">
        <v>49</v>
      </c>
      <c r="D7" s="19"/>
      <c r="E7" s="21">
        <v>23401775.98</v>
      </c>
    </row>
    <row r="8" spans="1:5" ht="19.5" customHeight="1">
      <c r="A8" s="21"/>
      <c r="B8" s="48"/>
      <c r="C8" s="47" t="s">
        <v>81</v>
      </c>
      <c r="D8" s="19"/>
      <c r="E8" s="21"/>
    </row>
    <row r="9" spans="1:5" ht="19.5" customHeight="1">
      <c r="A9" s="49">
        <v>185700</v>
      </c>
      <c r="B9" s="49">
        <f>SUM(E9+97.9)</f>
        <v>725.74</v>
      </c>
      <c r="C9" s="9" t="s">
        <v>60</v>
      </c>
      <c r="D9" s="19" t="s">
        <v>146</v>
      </c>
      <c r="E9" s="21">
        <v>627.84</v>
      </c>
    </row>
    <row r="10" spans="1:5" ht="19.5" customHeight="1">
      <c r="A10" s="49">
        <v>116700</v>
      </c>
      <c r="B10" s="49">
        <f>SUM(E10+2385)</f>
        <v>3720</v>
      </c>
      <c r="C10" s="9" t="s">
        <v>63</v>
      </c>
      <c r="D10" s="19" t="s">
        <v>147</v>
      </c>
      <c r="E10" s="21">
        <v>1335</v>
      </c>
    </row>
    <row r="11" spans="1:5" ht="19.5" customHeight="1">
      <c r="A11" s="49">
        <v>162000</v>
      </c>
      <c r="B11" s="49">
        <f>SUM(E11+2965.21)</f>
        <v>11369.32</v>
      </c>
      <c r="C11" s="9" t="s">
        <v>65</v>
      </c>
      <c r="D11" s="19" t="s">
        <v>148</v>
      </c>
      <c r="E11" s="50">
        <v>8404.11</v>
      </c>
    </row>
    <row r="12" spans="1:5" ht="19.5" customHeight="1">
      <c r="A12" s="49">
        <v>132300</v>
      </c>
      <c r="B12" s="49">
        <f>SUM(E12+400)</f>
        <v>820</v>
      </c>
      <c r="C12" s="9" t="s">
        <v>67</v>
      </c>
      <c r="D12" s="19" t="s">
        <v>149</v>
      </c>
      <c r="E12" s="50">
        <v>420</v>
      </c>
    </row>
    <row r="13" spans="1:5" ht="19.5" customHeight="1">
      <c r="A13" s="49">
        <v>1200</v>
      </c>
      <c r="B13" s="49">
        <f>SUM(E13)</f>
        <v>0</v>
      </c>
      <c r="C13" s="9" t="s">
        <v>144</v>
      </c>
      <c r="D13" s="19" t="s">
        <v>150</v>
      </c>
      <c r="E13" s="50">
        <v>0</v>
      </c>
    </row>
    <row r="14" spans="1:5" ht="19.5" customHeight="1">
      <c r="A14" s="49">
        <v>9525700</v>
      </c>
      <c r="B14" s="49">
        <f>SUM(E14+441739.04)</f>
        <v>2222556.78</v>
      </c>
      <c r="C14" s="9" t="s">
        <v>69</v>
      </c>
      <c r="D14" s="19" t="s">
        <v>151</v>
      </c>
      <c r="E14" s="50">
        <v>1780817.74</v>
      </c>
    </row>
    <row r="15" spans="1:5" ht="19.5" customHeight="1">
      <c r="A15" s="422">
        <v>7720800</v>
      </c>
      <c r="B15" s="421">
        <f>SUM(E15)</f>
        <v>3385261</v>
      </c>
      <c r="C15" s="9" t="s">
        <v>145</v>
      </c>
      <c r="D15" s="19" t="s">
        <v>152</v>
      </c>
      <c r="E15" s="50">
        <v>3385261</v>
      </c>
    </row>
    <row r="16" spans="1:5" ht="19.5" customHeight="1">
      <c r="A16" s="119">
        <f>SUM(A9:A15)</f>
        <v>17844400</v>
      </c>
      <c r="B16" s="119">
        <f>SUM(B9:B15)</f>
        <v>5624452.84</v>
      </c>
      <c r="C16" s="115" t="s">
        <v>39</v>
      </c>
      <c r="D16" s="120"/>
      <c r="E16" s="121">
        <f>SUM(E9:E15)</f>
        <v>5176865.6899999995</v>
      </c>
    </row>
    <row r="17" spans="1:5" ht="19.5" customHeight="1">
      <c r="A17" s="123"/>
      <c r="B17" s="49">
        <f>SUM(E17+134600)</f>
        <v>182600</v>
      </c>
      <c r="C17" s="9" t="s">
        <v>56</v>
      </c>
      <c r="D17" s="19" t="s">
        <v>116</v>
      </c>
      <c r="E17" s="21">
        <v>48000</v>
      </c>
    </row>
    <row r="18" spans="1:5" ht="19.5" customHeight="1">
      <c r="A18" s="123"/>
      <c r="B18" s="49">
        <f>SUM(E18+141000)</f>
        <v>294000</v>
      </c>
      <c r="C18" s="9" t="s">
        <v>107</v>
      </c>
      <c r="D18" s="19" t="s">
        <v>115</v>
      </c>
      <c r="E18" s="21">
        <v>153000</v>
      </c>
    </row>
    <row r="19" spans="1:5" ht="19.5" customHeight="1">
      <c r="A19" s="21"/>
      <c r="B19" s="49">
        <v>192990</v>
      </c>
      <c r="C19" s="9" t="s">
        <v>27</v>
      </c>
      <c r="D19" s="19" t="s">
        <v>117</v>
      </c>
      <c r="E19" s="21">
        <v>0</v>
      </c>
    </row>
    <row r="20" spans="1:5" ht="19.5" customHeight="1">
      <c r="A20" s="21"/>
      <c r="B20" s="49">
        <f>SUM(E20)</f>
        <v>195570</v>
      </c>
      <c r="C20" s="9" t="s">
        <v>476</v>
      </c>
      <c r="D20" s="19"/>
      <c r="E20" s="21">
        <v>195570</v>
      </c>
    </row>
    <row r="21" spans="1:5" ht="19.5" customHeight="1">
      <c r="A21" s="21"/>
      <c r="B21" s="49">
        <f>SUM(E21+3367.1)</f>
        <v>3455.2599999999998</v>
      </c>
      <c r="C21" s="9" t="s">
        <v>120</v>
      </c>
      <c r="D21" s="19" t="s">
        <v>142</v>
      </c>
      <c r="E21" s="21">
        <v>88.16</v>
      </c>
    </row>
    <row r="22" spans="1:5" ht="19.5" customHeight="1">
      <c r="A22" s="21"/>
      <c r="B22" s="49">
        <f>SUM(E22+1779.2)</f>
        <v>4141.42</v>
      </c>
      <c r="C22" s="9" t="s">
        <v>194</v>
      </c>
      <c r="D22" s="19" t="s">
        <v>195</v>
      </c>
      <c r="E22" s="21">
        <v>2362.22</v>
      </c>
    </row>
    <row r="23" spans="1:5" ht="19.5" customHeight="1">
      <c r="A23" s="21"/>
      <c r="B23" s="49">
        <f>SUM(E23)</f>
        <v>3229860</v>
      </c>
      <c r="C23" s="9" t="s">
        <v>479</v>
      </c>
      <c r="D23" s="19" t="s">
        <v>478</v>
      </c>
      <c r="E23" s="21">
        <v>3229860</v>
      </c>
    </row>
    <row r="24" spans="1:5" ht="19.5" customHeight="1">
      <c r="A24" s="21"/>
      <c r="B24" s="49"/>
      <c r="C24" s="9"/>
      <c r="D24" s="19"/>
      <c r="E24" s="21"/>
    </row>
    <row r="25" spans="1:5" ht="19.5" customHeight="1">
      <c r="A25" s="53"/>
      <c r="B25" s="51">
        <f>SUM(B17:B24)</f>
        <v>4102616.68</v>
      </c>
      <c r="C25" s="9"/>
      <c r="D25" s="19"/>
      <c r="E25" s="52">
        <f>SUM(E17:E24)</f>
        <v>3628880.38</v>
      </c>
    </row>
    <row r="26" spans="1:5" ht="19.5" customHeight="1">
      <c r="A26" s="21"/>
      <c r="B26" s="51">
        <f>SUM(B25,B16)</f>
        <v>9727069.52</v>
      </c>
      <c r="C26" s="13" t="s">
        <v>50</v>
      </c>
      <c r="D26" s="19"/>
      <c r="E26" s="52">
        <f>SUM(E25,E16)</f>
        <v>8805746.07</v>
      </c>
    </row>
    <row r="27" spans="1:5" ht="19.5" customHeight="1">
      <c r="A27" s="37"/>
      <c r="B27" s="54"/>
      <c r="C27" s="55"/>
      <c r="D27" s="23"/>
      <c r="E27" s="37"/>
    </row>
    <row r="28" spans="1:5" ht="19.5" customHeight="1">
      <c r="A28" s="37"/>
      <c r="B28" s="54"/>
      <c r="C28" s="55"/>
      <c r="D28" s="23"/>
      <c r="E28" s="37"/>
    </row>
    <row r="29" spans="1:5" ht="19.5" customHeight="1">
      <c r="A29" s="37"/>
      <c r="B29" s="54"/>
      <c r="C29" s="55"/>
      <c r="D29" s="23"/>
      <c r="E29" s="37"/>
    </row>
    <row r="30" spans="1:5" ht="19.5" customHeight="1">
      <c r="A30" s="37"/>
      <c r="B30" s="54"/>
      <c r="C30" s="55"/>
      <c r="D30" s="23"/>
      <c r="E30" s="37"/>
    </row>
    <row r="31" spans="1:5" ht="19.5" customHeight="1">
      <c r="A31" s="37"/>
      <c r="B31" s="54"/>
      <c r="C31" s="55"/>
      <c r="D31" s="23"/>
      <c r="E31" s="37"/>
    </row>
    <row r="32" spans="1:5" ht="19.5" customHeight="1">
      <c r="A32" s="37"/>
      <c r="B32" s="54"/>
      <c r="C32" s="55"/>
      <c r="D32" s="23"/>
      <c r="E32" s="37"/>
    </row>
    <row r="33" spans="1:5" ht="19.5" customHeight="1">
      <c r="A33" s="37"/>
      <c r="B33" s="54"/>
      <c r="C33" s="55"/>
      <c r="D33" s="23"/>
      <c r="E33" s="37"/>
    </row>
    <row r="34" spans="1:5" ht="19.5" customHeight="1">
      <c r="A34" s="37"/>
      <c r="B34" s="54"/>
      <c r="C34" s="55"/>
      <c r="D34" s="23"/>
      <c r="E34" s="37"/>
    </row>
    <row r="35" spans="1:5" ht="19.5" customHeight="1">
      <c r="A35" s="37"/>
      <c r="B35" s="54"/>
      <c r="C35" s="55"/>
      <c r="D35" s="23"/>
      <c r="E35" s="37"/>
    </row>
    <row r="36" spans="1:5" ht="19.5" customHeight="1">
      <c r="A36" s="37"/>
      <c r="B36" s="54"/>
      <c r="C36" s="55"/>
      <c r="D36" s="23"/>
      <c r="E36" s="37"/>
    </row>
    <row r="37" spans="1:5" ht="19.5" customHeight="1">
      <c r="A37" s="37"/>
      <c r="B37" s="54"/>
      <c r="C37" s="55"/>
      <c r="D37" s="23"/>
      <c r="E37" s="37"/>
    </row>
    <row r="38" spans="1:5" ht="19.5" customHeight="1">
      <c r="A38" s="37"/>
      <c r="B38" s="54"/>
      <c r="C38" s="55"/>
      <c r="D38" s="23"/>
      <c r="E38" s="37"/>
    </row>
    <row r="39" spans="1:5" ht="19.5" customHeight="1">
      <c r="A39" s="37"/>
      <c r="B39" s="54"/>
      <c r="C39" s="55"/>
      <c r="D39" s="23"/>
      <c r="E39" s="37"/>
    </row>
    <row r="40" spans="1:5" ht="19.5" customHeight="1">
      <c r="A40" s="37"/>
      <c r="B40" s="54"/>
      <c r="C40" s="55"/>
      <c r="D40" s="23"/>
      <c r="E40" s="37"/>
    </row>
    <row r="41" spans="1:5" ht="19.5" customHeight="1">
      <c r="A41" s="37"/>
      <c r="B41" s="54"/>
      <c r="C41" s="55"/>
      <c r="D41" s="23"/>
      <c r="E41" s="37"/>
    </row>
    <row r="42" spans="1:5" ht="19.5" customHeight="1">
      <c r="A42" s="37"/>
      <c r="B42" s="54"/>
      <c r="C42" s="55" t="s">
        <v>55</v>
      </c>
      <c r="D42" s="23"/>
      <c r="E42" s="37"/>
    </row>
    <row r="43" spans="1:5" ht="19.5" customHeight="1">
      <c r="A43" s="56"/>
      <c r="B43" s="57"/>
      <c r="C43" s="58" t="s">
        <v>53</v>
      </c>
      <c r="D43" s="15"/>
      <c r="E43" s="46"/>
    </row>
    <row r="44" spans="1:5" ht="19.5" customHeight="1">
      <c r="A44" s="21">
        <v>537290</v>
      </c>
      <c r="B44" s="59">
        <v>111392</v>
      </c>
      <c r="C44" s="9" t="s">
        <v>51</v>
      </c>
      <c r="D44" s="19" t="s">
        <v>108</v>
      </c>
      <c r="E44" s="59">
        <v>8156</v>
      </c>
    </row>
    <row r="45" spans="1:5" ht="19.5" customHeight="1">
      <c r="A45" s="21">
        <v>3013300</v>
      </c>
      <c r="B45" s="59">
        <f>SUM(E45)</f>
        <v>481566</v>
      </c>
      <c r="C45" s="9" t="s">
        <v>123</v>
      </c>
      <c r="D45" s="19" t="s">
        <v>182</v>
      </c>
      <c r="E45" s="59">
        <v>481566</v>
      </c>
    </row>
    <row r="46" spans="1:5" ht="19.5" customHeight="1">
      <c r="A46" s="50">
        <v>3441000</v>
      </c>
      <c r="B46" s="59">
        <v>458090</v>
      </c>
      <c r="C46" s="9" t="s">
        <v>187</v>
      </c>
      <c r="D46" s="19" t="s">
        <v>109</v>
      </c>
      <c r="E46" s="59">
        <v>229045</v>
      </c>
    </row>
    <row r="47" spans="1:5" ht="19.5" customHeight="1">
      <c r="A47" s="132">
        <v>152000</v>
      </c>
      <c r="B47" s="59">
        <v>22420</v>
      </c>
      <c r="C47" s="9" t="s">
        <v>188</v>
      </c>
      <c r="D47" s="19" t="s">
        <v>109</v>
      </c>
      <c r="E47" s="59">
        <v>11210</v>
      </c>
    </row>
    <row r="48" spans="1:5" ht="19.5" customHeight="1">
      <c r="A48" s="21">
        <v>1144000</v>
      </c>
      <c r="B48" s="59">
        <v>164700</v>
      </c>
      <c r="C48" s="9" t="s">
        <v>189</v>
      </c>
      <c r="D48" s="19" t="s">
        <v>109</v>
      </c>
      <c r="E48" s="59">
        <v>87450</v>
      </c>
    </row>
    <row r="49" spans="1:5" ht="19.5" customHeight="1">
      <c r="A49" s="21">
        <v>1575000</v>
      </c>
      <c r="B49" s="59">
        <v>37888.75</v>
      </c>
      <c r="C49" s="9" t="s">
        <v>23</v>
      </c>
      <c r="D49" s="19" t="s">
        <v>111</v>
      </c>
      <c r="E49" s="59">
        <v>20859</v>
      </c>
    </row>
    <row r="50" spans="1:5" ht="19.5" customHeight="1">
      <c r="A50" s="21">
        <v>2428290</v>
      </c>
      <c r="B50" s="59">
        <v>143440</v>
      </c>
      <c r="C50" s="9" t="s">
        <v>24</v>
      </c>
      <c r="D50" s="19" t="s">
        <v>111</v>
      </c>
      <c r="E50" s="59">
        <v>123030</v>
      </c>
    </row>
    <row r="51" spans="1:5" ht="19.5" customHeight="1">
      <c r="A51" s="21">
        <v>1843620</v>
      </c>
      <c r="B51" s="59">
        <v>76384</v>
      </c>
      <c r="C51" s="9" t="s">
        <v>25</v>
      </c>
      <c r="D51" s="19" t="s">
        <v>112</v>
      </c>
      <c r="E51" s="59">
        <v>67547</v>
      </c>
    </row>
    <row r="52" spans="1:5" ht="19.5" customHeight="1">
      <c r="A52" s="21">
        <v>342000</v>
      </c>
      <c r="B52" s="59">
        <v>46061.01</v>
      </c>
      <c r="C52" s="9" t="s">
        <v>26</v>
      </c>
      <c r="D52" s="19" t="s">
        <v>113</v>
      </c>
      <c r="E52" s="59">
        <v>8874.12</v>
      </c>
    </row>
    <row r="53" spans="1:5" ht="19.5" customHeight="1">
      <c r="A53" s="21">
        <v>297100</v>
      </c>
      <c r="B53" s="59">
        <v>28939.85</v>
      </c>
      <c r="C53" s="9" t="s">
        <v>76</v>
      </c>
      <c r="D53" s="19" t="s">
        <v>114</v>
      </c>
      <c r="E53" s="59">
        <v>20000</v>
      </c>
    </row>
    <row r="54" spans="1:5" ht="19.5" customHeight="1">
      <c r="A54" s="21">
        <v>1530000</v>
      </c>
      <c r="B54" s="59">
        <f>SUM(E54)</f>
        <v>0</v>
      </c>
      <c r="C54" s="9" t="s">
        <v>77</v>
      </c>
      <c r="D54" s="19" t="s">
        <v>184</v>
      </c>
      <c r="E54" s="59">
        <v>0</v>
      </c>
    </row>
    <row r="55" spans="1:5" ht="19.5" customHeight="1">
      <c r="A55" s="21">
        <v>20000</v>
      </c>
      <c r="B55" s="59">
        <f>SUM(E55)</f>
        <v>0</v>
      </c>
      <c r="C55" s="9" t="s">
        <v>183</v>
      </c>
      <c r="D55" s="19" t="s">
        <v>185</v>
      </c>
      <c r="E55" s="59">
        <v>0</v>
      </c>
    </row>
    <row r="56" spans="1:5" ht="19.5" customHeight="1">
      <c r="A56" s="21">
        <v>1520800</v>
      </c>
      <c r="B56" s="59">
        <f>SUM(E56)</f>
        <v>691600</v>
      </c>
      <c r="C56" s="9" t="s">
        <v>52</v>
      </c>
      <c r="D56" s="19" t="s">
        <v>186</v>
      </c>
      <c r="E56" s="59">
        <v>691600</v>
      </c>
    </row>
    <row r="57" spans="1:5" ht="19.5" customHeight="1">
      <c r="A57" s="52">
        <f>SUM(A44:A56)</f>
        <v>17844400</v>
      </c>
      <c r="B57" s="60">
        <f>SUM(B44:B56)</f>
        <v>2262481.6100000003</v>
      </c>
      <c r="C57" s="9"/>
      <c r="D57" s="19"/>
      <c r="E57" s="52">
        <f>SUM(E44:E56)</f>
        <v>1749337.12</v>
      </c>
    </row>
    <row r="58" spans="1:5" ht="19.5" customHeight="1">
      <c r="A58" s="21"/>
      <c r="B58" s="59">
        <v>1103800</v>
      </c>
      <c r="C58" s="9" t="s">
        <v>277</v>
      </c>
      <c r="D58" s="19" t="s">
        <v>475</v>
      </c>
      <c r="E58" s="59">
        <v>550700</v>
      </c>
    </row>
    <row r="59" spans="1:5" ht="19.5" customHeight="1">
      <c r="A59" s="21"/>
      <c r="B59" s="59">
        <v>181500</v>
      </c>
      <c r="C59" s="9" t="s">
        <v>278</v>
      </c>
      <c r="D59" s="19" t="s">
        <v>475</v>
      </c>
      <c r="E59" s="59">
        <v>90500</v>
      </c>
    </row>
    <row r="60" spans="1:5" ht="19.5" customHeight="1">
      <c r="A60" s="21"/>
      <c r="B60" s="49">
        <f>SUM(E60+13000)</f>
        <v>61000</v>
      </c>
      <c r="C60" s="9" t="s">
        <v>56</v>
      </c>
      <c r="D60" s="19" t="s">
        <v>116</v>
      </c>
      <c r="E60" s="21">
        <v>48000</v>
      </c>
    </row>
    <row r="61" spans="1:5" ht="19.5" customHeight="1">
      <c r="A61" s="21"/>
      <c r="B61" s="59">
        <f>SUM(E61+66000)</f>
        <v>306000</v>
      </c>
      <c r="C61" s="9" t="s">
        <v>107</v>
      </c>
      <c r="D61" s="19" t="s">
        <v>115</v>
      </c>
      <c r="E61" s="21">
        <v>240000</v>
      </c>
    </row>
    <row r="62" spans="1:5" ht="19.5" customHeight="1">
      <c r="A62" s="21"/>
      <c r="B62" s="59">
        <v>121600</v>
      </c>
      <c r="C62" s="9" t="s">
        <v>217</v>
      </c>
      <c r="D62" s="19" t="s">
        <v>218</v>
      </c>
      <c r="E62" s="59">
        <v>0</v>
      </c>
    </row>
    <row r="63" spans="1:5" ht="19.5" customHeight="1">
      <c r="A63" s="21"/>
      <c r="B63" s="59">
        <f>SUM(E63)</f>
        <v>195570</v>
      </c>
      <c r="C63" s="9" t="s">
        <v>476</v>
      </c>
      <c r="D63" s="19"/>
      <c r="E63" s="59">
        <v>195570</v>
      </c>
    </row>
    <row r="64" spans="1:5" ht="19.5" customHeight="1">
      <c r="A64" s="21"/>
      <c r="B64" s="59">
        <f>SUM(E64+10)</f>
        <v>15.5</v>
      </c>
      <c r="C64" s="9" t="s">
        <v>197</v>
      </c>
      <c r="D64" s="19" t="s">
        <v>142</v>
      </c>
      <c r="E64" s="59">
        <v>5.5</v>
      </c>
    </row>
    <row r="65" spans="1:5" ht="19.5" customHeight="1">
      <c r="A65" s="21"/>
      <c r="B65" s="59">
        <f>SUM(E65+1779.2)</f>
        <v>4141.42</v>
      </c>
      <c r="C65" s="9" t="s">
        <v>198</v>
      </c>
      <c r="D65" s="19" t="s">
        <v>196</v>
      </c>
      <c r="E65" s="59">
        <v>2362.22</v>
      </c>
    </row>
    <row r="66" spans="1:5" ht="19.5" customHeight="1">
      <c r="A66" s="21"/>
      <c r="B66" s="59">
        <v>248181.4</v>
      </c>
      <c r="C66" s="9" t="s">
        <v>200</v>
      </c>
      <c r="D66" s="19" t="s">
        <v>199</v>
      </c>
      <c r="E66" s="59">
        <v>0</v>
      </c>
    </row>
    <row r="67" spans="1:5" ht="19.5" customHeight="1">
      <c r="A67" s="21"/>
      <c r="B67" s="59">
        <f>SUM(E67+1077560)</f>
        <v>1084116</v>
      </c>
      <c r="C67" s="9" t="s">
        <v>207</v>
      </c>
      <c r="D67" s="19" t="s">
        <v>141</v>
      </c>
      <c r="E67" s="59">
        <v>6556</v>
      </c>
    </row>
    <row r="68" spans="1:5" ht="19.5" customHeight="1">
      <c r="A68" s="21"/>
      <c r="B68" s="51">
        <f>SUM(B58:B67)</f>
        <v>3305924.32</v>
      </c>
      <c r="C68" s="13"/>
      <c r="D68" s="19"/>
      <c r="E68" s="52">
        <f>SUM(E58:E67)</f>
        <v>1133693.72</v>
      </c>
    </row>
    <row r="69" spans="1:5" ht="19.5" customHeight="1">
      <c r="A69" s="21"/>
      <c r="B69" s="57">
        <f>SUM(B68,B57)</f>
        <v>5568405.93</v>
      </c>
      <c r="C69" s="9"/>
      <c r="D69" s="19"/>
      <c r="E69" s="46">
        <f>SUM(E68,E57)</f>
        <v>2883030.84</v>
      </c>
    </row>
    <row r="70" spans="1:5" ht="19.5" customHeight="1">
      <c r="A70" s="21"/>
      <c r="B70" s="51">
        <f>SUM(B26-B69)</f>
        <v>4158663.59</v>
      </c>
      <c r="C70" s="62"/>
      <c r="D70" s="19"/>
      <c r="E70" s="52">
        <f>SUM(E26-E69)</f>
        <v>5922715.23</v>
      </c>
    </row>
    <row r="71" spans="1:5" ht="19.5" customHeight="1" thickBot="1">
      <c r="A71" s="126"/>
      <c r="B71" s="61">
        <f>SUM(B7+B70)</f>
        <v>29324491.21</v>
      </c>
      <c r="C71" s="62"/>
      <c r="D71" s="125"/>
      <c r="E71" s="63">
        <f>E7+E70</f>
        <v>29324491.21</v>
      </c>
    </row>
    <row r="72" spans="1:5" ht="19.5" customHeight="1" thickTop="1">
      <c r="A72" s="37"/>
      <c r="B72" s="127"/>
      <c r="C72" s="62"/>
      <c r="D72" s="23"/>
      <c r="E72" s="37"/>
    </row>
    <row r="73" spans="1:5" ht="19.5" customHeight="1">
      <c r="A73" s="9" t="s">
        <v>30</v>
      </c>
      <c r="B73" s="28"/>
      <c r="C73" s="36"/>
      <c r="D73" s="36"/>
      <c r="E73" s="36"/>
    </row>
    <row r="74" spans="1:5" ht="19.5" customHeight="1">
      <c r="A74" s="64" t="s">
        <v>31</v>
      </c>
      <c r="B74" s="28"/>
      <c r="C74" s="36"/>
      <c r="D74" s="36"/>
      <c r="E74" s="34"/>
    </row>
    <row r="75" spans="1:5" ht="19.5" customHeight="1">
      <c r="A75" s="64"/>
      <c r="B75" s="28"/>
      <c r="C75" s="36"/>
      <c r="D75" s="36"/>
      <c r="E75" s="34"/>
    </row>
    <row r="76" spans="1:5" ht="19.5" customHeight="1">
      <c r="A76" s="330" t="s">
        <v>34</v>
      </c>
      <c r="B76" s="330"/>
      <c r="C76" s="330"/>
      <c r="D76" s="330"/>
      <c r="E76" s="330"/>
    </row>
    <row r="77" spans="1:5" ht="19.5" customHeight="1">
      <c r="A77" s="330" t="s">
        <v>233</v>
      </c>
      <c r="B77" s="330"/>
      <c r="C77" s="330"/>
      <c r="D77" s="330"/>
      <c r="E77" s="330"/>
    </row>
    <row r="78" spans="1:5" ht="19.5" customHeight="1">
      <c r="A78" s="330" t="s">
        <v>32</v>
      </c>
      <c r="B78" s="330"/>
      <c r="C78" s="330"/>
      <c r="D78" s="330"/>
      <c r="E78" s="330"/>
    </row>
    <row r="79" spans="1:5" ht="19.5" customHeight="1">
      <c r="A79" s="9"/>
      <c r="B79" s="28"/>
      <c r="C79" s="36"/>
      <c r="D79" s="36"/>
      <c r="E79" s="9"/>
    </row>
    <row r="80" spans="1:5" ht="19.5" customHeight="1">
      <c r="A80" s="330" t="s">
        <v>341</v>
      </c>
      <c r="B80" s="330"/>
      <c r="C80" s="330"/>
      <c r="D80" s="330"/>
      <c r="E80" s="330"/>
    </row>
    <row r="81" spans="1:5" ht="19.5" customHeight="1">
      <c r="A81" s="330" t="s">
        <v>33</v>
      </c>
      <c r="B81" s="330"/>
      <c r="C81" s="330"/>
      <c r="D81" s="330"/>
      <c r="E81" s="330"/>
    </row>
    <row r="82" spans="1:5" ht="19.5" customHeight="1">
      <c r="A82" s="334">
        <v>239569</v>
      </c>
      <c r="B82" s="334"/>
      <c r="C82" s="334"/>
      <c r="D82" s="334"/>
      <c r="E82" s="334"/>
    </row>
    <row r="83" spans="1:5" ht="19.5" customHeight="1">
      <c r="A83" s="333" t="s">
        <v>356</v>
      </c>
      <c r="B83" s="333"/>
      <c r="C83" s="333"/>
      <c r="D83" s="333"/>
      <c r="E83" s="333"/>
    </row>
    <row r="84" spans="1:5" ht="19.5" customHeight="1">
      <c r="A84" s="333" t="s">
        <v>121</v>
      </c>
      <c r="B84" s="333"/>
      <c r="C84" s="333"/>
      <c r="D84" s="333"/>
      <c r="E84" s="333"/>
    </row>
    <row r="85" spans="1:5" ht="19.5" customHeight="1">
      <c r="A85" s="67" t="s">
        <v>36</v>
      </c>
      <c r="B85" s="67"/>
      <c r="C85" s="40"/>
      <c r="D85" s="40"/>
      <c r="E85" s="62">
        <v>0</v>
      </c>
    </row>
    <row r="86" spans="1:5" ht="19.5" customHeight="1">
      <c r="A86" s="65" t="s">
        <v>122</v>
      </c>
      <c r="B86" s="9"/>
      <c r="C86" s="9"/>
      <c r="D86" s="28"/>
      <c r="E86" s="65">
        <v>82</v>
      </c>
    </row>
    <row r="87" spans="1:5" ht="19.5" customHeight="1">
      <c r="A87" s="65" t="s">
        <v>37</v>
      </c>
      <c r="B87" s="9"/>
      <c r="C87" s="9"/>
      <c r="D87" s="28"/>
      <c r="E87" s="65">
        <v>2.8</v>
      </c>
    </row>
    <row r="88" spans="1:5" ht="19.5" customHeight="1">
      <c r="A88" s="65" t="s">
        <v>38</v>
      </c>
      <c r="B88" s="9"/>
      <c r="C88" s="9"/>
      <c r="D88" s="28"/>
      <c r="E88" s="65">
        <v>3.36</v>
      </c>
    </row>
    <row r="89" spans="1:5" ht="19.5" customHeight="1">
      <c r="A89" s="333" t="s">
        <v>39</v>
      </c>
      <c r="B89" s="333"/>
      <c r="C89" s="333"/>
      <c r="D89" s="28"/>
      <c r="E89" s="66">
        <f>SUM(E85:E88)</f>
        <v>88.16</v>
      </c>
    </row>
    <row r="90" spans="1:5" ht="19.5" customHeight="1">
      <c r="A90" s="40"/>
      <c r="B90" s="40"/>
      <c r="C90" s="40"/>
      <c r="D90" s="28"/>
      <c r="E90" s="66"/>
    </row>
    <row r="91" spans="1:5" ht="19.5" customHeight="1">
      <c r="A91" s="40"/>
      <c r="B91" s="40"/>
      <c r="C91" s="40"/>
      <c r="D91" s="28"/>
      <c r="E91" s="66"/>
    </row>
    <row r="92" spans="1:5" ht="19.5" customHeight="1">
      <c r="A92" s="327" t="s">
        <v>355</v>
      </c>
      <c r="B92" s="327"/>
      <c r="C92" s="327"/>
      <c r="D92" s="327"/>
      <c r="E92" s="327"/>
    </row>
    <row r="93" spans="1:5" ht="19.5" customHeight="1">
      <c r="A93" s="333" t="s">
        <v>35</v>
      </c>
      <c r="B93" s="333"/>
      <c r="C93" s="333"/>
      <c r="D93" s="333"/>
      <c r="E93" s="333"/>
    </row>
    <row r="94" spans="1:5" ht="19.5" customHeight="1">
      <c r="A94" s="67" t="s">
        <v>79</v>
      </c>
      <c r="B94" s="67"/>
      <c r="C94" s="40"/>
      <c r="D94" s="40"/>
      <c r="E94" s="62">
        <v>2362.22</v>
      </c>
    </row>
    <row r="95" spans="1:5" ht="19.5" customHeight="1">
      <c r="A95" s="333" t="s">
        <v>39</v>
      </c>
      <c r="B95" s="333"/>
      <c r="C95" s="333"/>
      <c r="D95" s="28"/>
      <c r="E95" s="68">
        <f>SUM(E94:E94)</f>
        <v>2362.22</v>
      </c>
    </row>
    <row r="96" spans="1:5" ht="19.5" customHeight="1">
      <c r="A96" s="40"/>
      <c r="B96" s="40"/>
      <c r="C96" s="40"/>
      <c r="D96" s="28"/>
      <c r="E96" s="68"/>
    </row>
    <row r="97" spans="1:5" ht="19.5" customHeight="1">
      <c r="A97" s="40"/>
      <c r="B97" s="40"/>
      <c r="C97" s="40"/>
      <c r="D97" s="28"/>
      <c r="E97" s="68"/>
    </row>
    <row r="98" spans="1:5" ht="19.5" customHeight="1">
      <c r="A98" s="333" t="s">
        <v>354</v>
      </c>
      <c r="B98" s="333"/>
      <c r="C98" s="333"/>
      <c r="D98" s="333"/>
      <c r="E98" s="333"/>
    </row>
    <row r="99" spans="1:5" ht="19.5" customHeight="1">
      <c r="A99" s="333" t="s">
        <v>121</v>
      </c>
      <c r="B99" s="333"/>
      <c r="C99" s="333"/>
      <c r="D99" s="333"/>
      <c r="E99" s="333"/>
    </row>
    <row r="100" spans="1:5" ht="19.5" customHeight="1">
      <c r="A100" s="65" t="s">
        <v>37</v>
      </c>
      <c r="B100" s="9"/>
      <c r="C100" s="9"/>
      <c r="D100" s="28"/>
      <c r="E100" s="65">
        <v>5.5</v>
      </c>
    </row>
    <row r="101" spans="1:5" ht="19.5" customHeight="1">
      <c r="A101" s="333" t="s">
        <v>39</v>
      </c>
      <c r="B101" s="333"/>
      <c r="C101" s="333"/>
      <c r="D101" s="28"/>
      <c r="E101" s="66">
        <f>SUM(E100:E100)</f>
        <v>5.5</v>
      </c>
    </row>
    <row r="102" spans="1:5" ht="19.5" customHeight="1">
      <c r="A102" s="40"/>
      <c r="B102" s="40"/>
      <c r="C102" s="40"/>
      <c r="D102" s="28"/>
      <c r="E102" s="66"/>
    </row>
    <row r="103" spans="1:5" ht="19.5" customHeight="1">
      <c r="A103" s="40"/>
      <c r="B103" s="40"/>
      <c r="C103" s="40"/>
      <c r="D103" s="28"/>
      <c r="E103" s="66"/>
    </row>
    <row r="104" spans="1:5" ht="19.5" customHeight="1">
      <c r="A104" s="327" t="s">
        <v>353</v>
      </c>
      <c r="B104" s="327"/>
      <c r="C104" s="327"/>
      <c r="D104" s="327"/>
      <c r="E104" s="327"/>
    </row>
    <row r="105" spans="1:5" ht="19.5" customHeight="1">
      <c r="A105" s="333" t="s">
        <v>35</v>
      </c>
      <c r="B105" s="333"/>
      <c r="C105" s="333"/>
      <c r="D105" s="333"/>
      <c r="E105" s="333"/>
    </row>
    <row r="106" spans="1:5" ht="19.5" customHeight="1">
      <c r="A106" s="67" t="s">
        <v>79</v>
      </c>
      <c r="B106" s="67"/>
      <c r="C106" s="40"/>
      <c r="D106" s="40"/>
      <c r="E106" s="62">
        <v>2362.22</v>
      </c>
    </row>
    <row r="107" spans="1:5" ht="19.5" customHeight="1">
      <c r="A107" s="333" t="s">
        <v>39</v>
      </c>
      <c r="B107" s="333"/>
      <c r="C107" s="333"/>
      <c r="D107" s="28"/>
      <c r="E107" s="68">
        <f>SUM(E106:E106)</f>
        <v>2362.22</v>
      </c>
    </row>
    <row r="108" spans="1:5" ht="19.5" customHeight="1">
      <c r="A108" s="40"/>
      <c r="B108" s="40"/>
      <c r="C108" s="40"/>
      <c r="D108" s="28"/>
      <c r="E108" s="68"/>
    </row>
    <row r="109" spans="1:5" ht="19.5" customHeight="1">
      <c r="A109" s="327"/>
      <c r="B109" s="327"/>
      <c r="C109" s="327"/>
      <c r="D109" s="35"/>
      <c r="E109" s="35"/>
    </row>
    <row r="110" spans="1:5" ht="19.5" customHeight="1">
      <c r="A110" s="327" t="s">
        <v>463</v>
      </c>
      <c r="B110" s="327"/>
      <c r="C110" s="327"/>
      <c r="D110" s="327"/>
      <c r="E110" s="327"/>
    </row>
    <row r="111" spans="1:5" ht="19.5" customHeight="1">
      <c r="A111" s="333" t="s">
        <v>201</v>
      </c>
      <c r="B111" s="333"/>
      <c r="C111" s="333"/>
      <c r="D111" s="333"/>
      <c r="E111" s="333"/>
    </row>
    <row r="112" spans="1:5" ht="19.5" customHeight="1">
      <c r="A112" s="67" t="s">
        <v>202</v>
      </c>
      <c r="B112" s="67"/>
      <c r="C112" s="40"/>
      <c r="D112" s="40"/>
      <c r="E112" s="62">
        <v>26936</v>
      </c>
    </row>
    <row r="113" spans="1:5" ht="19.5" customHeight="1">
      <c r="A113" s="67" t="s">
        <v>203</v>
      </c>
      <c r="B113" s="67"/>
      <c r="C113" s="40"/>
      <c r="D113" s="40"/>
      <c r="E113" s="62">
        <v>9427.6</v>
      </c>
    </row>
    <row r="114" spans="1:5" ht="19.5" customHeight="1">
      <c r="A114" s="67" t="s">
        <v>204</v>
      </c>
      <c r="B114" s="67"/>
      <c r="C114" s="40"/>
      <c r="D114" s="40"/>
      <c r="E114" s="62">
        <v>16894.2</v>
      </c>
    </row>
    <row r="115" spans="1:5" ht="19.5" customHeight="1">
      <c r="A115" s="67" t="s">
        <v>205</v>
      </c>
      <c r="B115" s="67"/>
      <c r="C115" s="40"/>
      <c r="D115" s="40"/>
      <c r="E115" s="62">
        <v>69815.2</v>
      </c>
    </row>
    <row r="116" spans="1:5" ht="19.5" customHeight="1">
      <c r="A116" s="67" t="s">
        <v>206</v>
      </c>
      <c r="B116" s="67"/>
      <c r="C116" s="40"/>
      <c r="D116" s="40"/>
      <c r="E116" s="62">
        <v>125108.4</v>
      </c>
    </row>
    <row r="117" spans="1:5" ht="19.5" customHeight="1">
      <c r="A117" s="333" t="s">
        <v>39</v>
      </c>
      <c r="B117" s="333"/>
      <c r="C117" s="333"/>
      <c r="D117" s="28"/>
      <c r="E117" s="68">
        <f>SUM(E112:E116)</f>
        <v>248181.4</v>
      </c>
    </row>
    <row r="118" spans="1:5" ht="19.5" customHeight="1">
      <c r="A118" s="40"/>
      <c r="B118" s="40"/>
      <c r="C118" s="40"/>
      <c r="D118" s="28"/>
      <c r="E118" s="68"/>
    </row>
    <row r="119" spans="1:5" ht="19.5" customHeight="1">
      <c r="A119" s="40"/>
      <c r="B119" s="40"/>
      <c r="C119" s="40"/>
      <c r="D119" s="28"/>
      <c r="E119" s="68"/>
    </row>
    <row r="120" spans="1:5" ht="19.5" customHeight="1">
      <c r="A120" s="40"/>
      <c r="B120" s="40"/>
      <c r="C120" s="40"/>
      <c r="D120" s="28"/>
      <c r="E120" s="68"/>
    </row>
    <row r="121" spans="1:5" ht="19.5" customHeight="1">
      <c r="A121" s="40"/>
      <c r="B121" s="40"/>
      <c r="C121" s="40"/>
      <c r="D121" s="28"/>
      <c r="E121" s="68"/>
    </row>
    <row r="122" spans="1:5" ht="19.5" customHeight="1">
      <c r="A122" s="40"/>
      <c r="B122" s="40"/>
      <c r="C122" s="40"/>
      <c r="D122" s="28"/>
      <c r="E122" s="68"/>
    </row>
    <row r="123" spans="1:5" ht="19.5" customHeight="1">
      <c r="A123" s="40"/>
      <c r="B123" s="40"/>
      <c r="C123" s="40"/>
      <c r="D123" s="28"/>
      <c r="E123" s="68"/>
    </row>
    <row r="124" spans="1:5" ht="19.5" customHeight="1">
      <c r="A124" s="327" t="s">
        <v>352</v>
      </c>
      <c r="B124" s="327"/>
      <c r="C124" s="327"/>
      <c r="D124" s="327"/>
      <c r="E124" s="327"/>
    </row>
    <row r="125" spans="1:5" ht="19.5" customHeight="1">
      <c r="A125" s="333" t="s">
        <v>190</v>
      </c>
      <c r="B125" s="333"/>
      <c r="C125" s="333"/>
      <c r="D125" s="333"/>
      <c r="E125" s="333"/>
    </row>
    <row r="126" spans="1:5" ht="19.5" customHeight="1">
      <c r="A126" s="40"/>
      <c r="B126" s="40"/>
      <c r="C126" s="40"/>
      <c r="D126" s="40"/>
      <c r="E126" s="40"/>
    </row>
    <row r="127" spans="1:5" ht="19.5" customHeight="1">
      <c r="A127" s="341" t="s">
        <v>208</v>
      </c>
      <c r="B127" s="341"/>
      <c r="C127" s="341"/>
      <c r="D127" s="40"/>
      <c r="E127" s="62">
        <v>26900</v>
      </c>
    </row>
    <row r="128" spans="1:5" ht="19.5" customHeight="1">
      <c r="A128" s="341" t="s">
        <v>357</v>
      </c>
      <c r="B128" s="341"/>
      <c r="C128" s="341"/>
      <c r="D128" s="40"/>
      <c r="E128" s="62">
        <v>5000</v>
      </c>
    </row>
    <row r="129" spans="1:5" ht="19.5" customHeight="1">
      <c r="A129" s="67" t="s">
        <v>209</v>
      </c>
      <c r="B129" s="67"/>
      <c r="C129" s="40"/>
      <c r="D129" s="40"/>
      <c r="E129" s="62">
        <v>5000</v>
      </c>
    </row>
    <row r="130" spans="1:5" ht="19.5" customHeight="1">
      <c r="A130" s="67" t="s">
        <v>210</v>
      </c>
      <c r="B130" s="67"/>
      <c r="C130" s="40"/>
      <c r="D130" s="40"/>
      <c r="E130" s="62">
        <v>2720</v>
      </c>
    </row>
    <row r="131" spans="1:5" ht="19.5" customHeight="1">
      <c r="A131" s="67" t="s">
        <v>211</v>
      </c>
      <c r="B131" s="67"/>
      <c r="C131" s="40"/>
      <c r="D131" s="40"/>
      <c r="E131" s="62">
        <v>3600</v>
      </c>
    </row>
    <row r="132" spans="1:5" ht="19.5" customHeight="1">
      <c r="A132" s="67" t="s">
        <v>212</v>
      </c>
      <c r="B132" s="67"/>
      <c r="C132" s="40"/>
      <c r="D132" s="40"/>
      <c r="E132" s="62">
        <v>5000</v>
      </c>
    </row>
    <row r="133" spans="1:5" ht="19.5" customHeight="1">
      <c r="A133" s="67" t="s">
        <v>211</v>
      </c>
      <c r="B133" s="67"/>
      <c r="C133" s="40"/>
      <c r="D133" s="40"/>
      <c r="E133" s="62">
        <v>77500</v>
      </c>
    </row>
    <row r="134" spans="1:5" ht="19.5" customHeight="1">
      <c r="A134" s="67" t="s">
        <v>213</v>
      </c>
      <c r="B134" s="67"/>
      <c r="C134" s="40"/>
      <c r="D134" s="40"/>
      <c r="E134" s="62">
        <v>387900</v>
      </c>
    </row>
    <row r="135" spans="1:5" ht="19.5" customHeight="1">
      <c r="A135" s="67" t="s">
        <v>213</v>
      </c>
      <c r="B135" s="67"/>
      <c r="C135" s="40"/>
      <c r="D135" s="40"/>
      <c r="E135" s="62">
        <v>241800</v>
      </c>
    </row>
    <row r="136" spans="1:5" ht="19.5" customHeight="1">
      <c r="A136" s="67" t="s">
        <v>213</v>
      </c>
      <c r="B136" s="67"/>
      <c r="C136" s="40"/>
      <c r="D136" s="40"/>
      <c r="E136" s="62">
        <v>161500</v>
      </c>
    </row>
    <row r="137" spans="1:5" ht="19.5" customHeight="1">
      <c r="A137" s="67" t="s">
        <v>213</v>
      </c>
      <c r="B137" s="67"/>
      <c r="C137" s="40"/>
      <c r="D137" s="40"/>
      <c r="E137" s="62">
        <v>20000</v>
      </c>
    </row>
    <row r="138" spans="1:5" ht="19.5" customHeight="1">
      <c r="A138" s="67" t="s">
        <v>213</v>
      </c>
      <c r="B138" s="67"/>
      <c r="C138" s="40"/>
      <c r="D138" s="40"/>
      <c r="E138" s="62">
        <v>120000</v>
      </c>
    </row>
    <row r="139" spans="1:5" ht="19.5" customHeight="1">
      <c r="A139" s="67" t="s">
        <v>214</v>
      </c>
      <c r="B139" s="67"/>
      <c r="C139" s="40"/>
      <c r="D139" s="40"/>
      <c r="E139" s="62">
        <v>5000</v>
      </c>
    </row>
    <row r="140" spans="1:5" ht="19.5" customHeight="1">
      <c r="A140" s="67" t="s">
        <v>215</v>
      </c>
      <c r="B140" s="67"/>
      <c r="C140" s="40"/>
      <c r="D140" s="40"/>
      <c r="E140" s="62">
        <v>4500</v>
      </c>
    </row>
    <row r="141" spans="1:5" ht="19.5" customHeight="1">
      <c r="A141" s="67" t="s">
        <v>216</v>
      </c>
      <c r="B141" s="67"/>
      <c r="C141" s="40"/>
      <c r="D141" s="40"/>
      <c r="E141" s="62">
        <v>11140</v>
      </c>
    </row>
    <row r="142" spans="1:5" ht="19.5" customHeight="1">
      <c r="A142" s="67" t="s">
        <v>124</v>
      </c>
      <c r="B142" s="67"/>
      <c r="C142" s="40"/>
      <c r="D142" s="40"/>
      <c r="E142" s="62">
        <v>680</v>
      </c>
    </row>
    <row r="143" spans="1:5" ht="19.5" customHeight="1">
      <c r="A143" s="67" t="s">
        <v>125</v>
      </c>
      <c r="B143" s="67"/>
      <c r="C143" s="40"/>
      <c r="D143" s="40"/>
      <c r="E143" s="62">
        <v>58</v>
      </c>
    </row>
    <row r="144" spans="1:5" ht="19.5" customHeight="1">
      <c r="A144" s="67" t="s">
        <v>126</v>
      </c>
      <c r="B144" s="67"/>
      <c r="C144" s="40"/>
      <c r="D144" s="40"/>
      <c r="E144" s="62">
        <v>58</v>
      </c>
    </row>
    <row r="145" spans="1:5" ht="19.5" customHeight="1">
      <c r="A145" s="67" t="s">
        <v>351</v>
      </c>
      <c r="B145" s="67"/>
      <c r="C145" s="40"/>
      <c r="D145" s="40"/>
      <c r="E145" s="62">
        <v>5760</v>
      </c>
    </row>
    <row r="146" spans="1:5" ht="19.5" customHeight="1">
      <c r="A146" s="333" t="s">
        <v>39</v>
      </c>
      <c r="B146" s="333"/>
      <c r="C146" s="333"/>
      <c r="D146" s="28"/>
      <c r="E146" s="68">
        <f>SUM(E127:E145)</f>
        <v>1084116</v>
      </c>
    </row>
    <row r="147" spans="1:5" ht="19.5" customHeight="1">
      <c r="A147" s="327" t="s">
        <v>477</v>
      </c>
      <c r="B147" s="327"/>
      <c r="C147" s="327"/>
      <c r="D147" s="327"/>
      <c r="E147" s="327"/>
    </row>
    <row r="148" spans="1:5" ht="19.5" customHeight="1">
      <c r="A148" s="333" t="s">
        <v>338</v>
      </c>
      <c r="B148" s="333"/>
      <c r="C148" s="333"/>
      <c r="D148" s="333"/>
      <c r="E148" s="333"/>
    </row>
    <row r="149" spans="1:5" ht="19.5" customHeight="1">
      <c r="A149" s="67" t="s">
        <v>219</v>
      </c>
      <c r="B149" s="67"/>
      <c r="C149" s="40"/>
      <c r="D149" s="40"/>
      <c r="E149" s="62">
        <v>2765500</v>
      </c>
    </row>
    <row r="150" spans="1:5" ht="19.5" customHeight="1">
      <c r="A150" s="67" t="s">
        <v>220</v>
      </c>
      <c r="B150" s="67"/>
      <c r="C150" s="40"/>
      <c r="D150" s="40"/>
      <c r="E150" s="62">
        <v>455000</v>
      </c>
    </row>
    <row r="151" spans="1:5" ht="19.5" customHeight="1">
      <c r="A151" s="67" t="s">
        <v>342</v>
      </c>
      <c r="B151" s="67"/>
      <c r="C151" s="40"/>
      <c r="D151" s="40"/>
      <c r="E151" s="62">
        <v>9360</v>
      </c>
    </row>
    <row r="152" spans="1:5" ht="19.5" customHeight="1">
      <c r="A152" s="67"/>
      <c r="B152" s="67"/>
      <c r="C152" s="40"/>
      <c r="D152" s="40"/>
      <c r="E152" s="62"/>
    </row>
    <row r="153" spans="1:5" ht="19.5" customHeight="1">
      <c r="A153" s="67"/>
      <c r="B153" s="67"/>
      <c r="C153" s="40"/>
      <c r="D153" s="40"/>
      <c r="E153" s="62"/>
    </row>
    <row r="154" spans="1:5" ht="19.5" customHeight="1">
      <c r="A154" s="333" t="s">
        <v>39</v>
      </c>
      <c r="B154" s="333"/>
      <c r="C154" s="333"/>
      <c r="D154" s="28"/>
      <c r="E154" s="68">
        <f>SUM(E149:E153)</f>
        <v>3229860</v>
      </c>
    </row>
    <row r="155" spans="1:5" ht="19.5" customHeight="1">
      <c r="A155" s="40"/>
      <c r="B155" s="40"/>
      <c r="C155" s="40"/>
      <c r="D155" s="28"/>
      <c r="E155" s="68"/>
    </row>
    <row r="156" spans="1:5" ht="19.5" customHeight="1">
      <c r="A156" s="40"/>
      <c r="B156" s="40"/>
      <c r="C156" s="40"/>
      <c r="D156" s="28"/>
      <c r="E156" s="68"/>
    </row>
    <row r="157" spans="1:5" ht="19.5" customHeight="1">
      <c r="A157" s="40"/>
      <c r="B157" s="40"/>
      <c r="C157" s="40"/>
      <c r="D157" s="28"/>
      <c r="E157" s="68"/>
    </row>
    <row r="158" spans="1:5" ht="19.5" customHeight="1">
      <c r="A158" s="40"/>
      <c r="B158" s="40"/>
      <c r="C158" s="40"/>
      <c r="D158" s="28"/>
      <c r="E158" s="68"/>
    </row>
    <row r="159" spans="1:5" ht="19.5" customHeight="1">
      <c r="A159" s="40"/>
      <c r="B159" s="40"/>
      <c r="C159" s="40"/>
      <c r="D159" s="28"/>
      <c r="E159" s="68"/>
    </row>
    <row r="160" spans="1:5" ht="19.5" customHeight="1">
      <c r="A160" s="3"/>
      <c r="D160" s="3"/>
      <c r="E160" s="3"/>
    </row>
    <row r="161" spans="1:5" ht="19.5" customHeight="1">
      <c r="A161" s="3"/>
      <c r="D161" s="3"/>
      <c r="E161" s="3"/>
    </row>
    <row r="162" spans="1:5" ht="19.5" customHeight="1">
      <c r="A162" s="3"/>
      <c r="D162" s="3"/>
      <c r="E162" s="3"/>
    </row>
    <row r="163" spans="1:5" ht="19.5" customHeight="1">
      <c r="A163" s="3"/>
      <c r="D163" s="3"/>
      <c r="E163" s="3"/>
    </row>
    <row r="164" spans="1:5" ht="19.5" customHeight="1">
      <c r="A164" s="3"/>
      <c r="D164" s="3"/>
      <c r="E164" s="3"/>
    </row>
    <row r="165" spans="1:5" ht="19.5" customHeight="1">
      <c r="A165" s="3"/>
      <c r="D165" s="3"/>
      <c r="E165" s="3"/>
    </row>
    <row r="166" spans="1:5" ht="19.5" customHeight="1">
      <c r="A166" s="3"/>
      <c r="D166" s="3"/>
      <c r="E166" s="3"/>
    </row>
    <row r="167" spans="1:5" ht="19.5" customHeight="1">
      <c r="A167" s="3"/>
      <c r="D167" s="3"/>
      <c r="E167" s="3"/>
    </row>
    <row r="168" spans="1:5" ht="19.5" customHeight="1">
      <c r="A168" s="3"/>
      <c r="D168" s="3"/>
      <c r="E168" s="3"/>
    </row>
    <row r="169" spans="1:5" ht="19.5" customHeight="1">
      <c r="A169" s="3"/>
      <c r="D169" s="3"/>
      <c r="E169" s="3"/>
    </row>
    <row r="170" spans="1:5" ht="19.5" customHeight="1">
      <c r="A170" s="3"/>
      <c r="D170" s="3"/>
      <c r="E170" s="3"/>
    </row>
    <row r="171" spans="1:5" ht="19.5" customHeight="1">
      <c r="A171" s="3"/>
      <c r="D171" s="3"/>
      <c r="E171" s="3"/>
    </row>
    <row r="172" spans="1:5" ht="19.5" customHeight="1">
      <c r="A172" s="3"/>
      <c r="D172" s="3"/>
      <c r="E172" s="3"/>
    </row>
    <row r="173" spans="1:5" ht="19.5" customHeight="1">
      <c r="A173" s="3"/>
      <c r="D173" s="3"/>
      <c r="E173" s="3"/>
    </row>
    <row r="174" spans="1:5" ht="19.5" customHeight="1">
      <c r="A174" s="3"/>
      <c r="D174" s="3"/>
      <c r="E174" s="3"/>
    </row>
    <row r="175" spans="1:5" ht="19.5" customHeight="1">
      <c r="A175" s="3"/>
      <c r="D175" s="3"/>
      <c r="E175" s="3"/>
    </row>
    <row r="176" spans="1:5" ht="19.5" customHeight="1">
      <c r="A176" s="3"/>
      <c r="D176" s="3"/>
      <c r="E176" s="3"/>
    </row>
    <row r="177" spans="1:5" ht="19.5" customHeight="1">
      <c r="A177" s="3"/>
      <c r="D177" s="3"/>
      <c r="E177" s="3"/>
    </row>
    <row r="178" spans="1:5" ht="19.5" customHeight="1">
      <c r="A178" s="3"/>
      <c r="D178" s="3"/>
      <c r="E178" s="3"/>
    </row>
    <row r="179" spans="1:5" ht="19.5" customHeight="1">
      <c r="A179" s="3"/>
      <c r="D179" s="3"/>
      <c r="E179" s="3"/>
    </row>
    <row r="180" spans="1:5" ht="19.5" customHeight="1">
      <c r="A180" s="3"/>
      <c r="D180" s="3"/>
      <c r="E180" s="3"/>
    </row>
    <row r="181" spans="1:5" ht="19.5" customHeight="1">
      <c r="A181" s="3"/>
      <c r="D181" s="3"/>
      <c r="E181" s="3"/>
    </row>
    <row r="182" spans="1:5" ht="19.5" customHeight="1">
      <c r="A182" s="3"/>
      <c r="D182" s="3"/>
      <c r="E182" s="3"/>
    </row>
    <row r="183" spans="1:5" ht="19.5" customHeight="1">
      <c r="A183" s="3"/>
      <c r="D183" s="3"/>
      <c r="E183" s="3"/>
    </row>
    <row r="184" spans="1:5" ht="19.5" customHeight="1">
      <c r="A184" s="3"/>
      <c r="D184" s="3"/>
      <c r="E184" s="3"/>
    </row>
    <row r="185" spans="1:5" ht="19.5" customHeight="1">
      <c r="A185" s="3"/>
      <c r="D185" s="3"/>
      <c r="E185" s="3"/>
    </row>
    <row r="186" spans="1:5" ht="19.5" customHeight="1">
      <c r="A186" s="3"/>
      <c r="D186" s="3"/>
      <c r="E186" s="3"/>
    </row>
    <row r="187" spans="1:5" ht="19.5" customHeight="1">
      <c r="A187" s="3"/>
      <c r="D187" s="3"/>
      <c r="E187" s="3"/>
    </row>
    <row r="188" spans="1:5" ht="19.5" customHeight="1">
      <c r="A188" s="3"/>
      <c r="D188" s="3"/>
      <c r="E188" s="3"/>
    </row>
    <row r="189" spans="1:5" ht="19.5" customHeight="1">
      <c r="A189" s="3"/>
      <c r="D189" s="3"/>
      <c r="E189" s="3"/>
    </row>
    <row r="190" spans="1:5" ht="19.5" customHeight="1">
      <c r="A190" s="3"/>
      <c r="D190" s="3"/>
      <c r="E190" s="3"/>
    </row>
    <row r="191" spans="1:5" ht="19.5" customHeight="1">
      <c r="A191" s="3"/>
      <c r="D191" s="3"/>
      <c r="E191" s="3"/>
    </row>
    <row r="192" spans="1:5" ht="19.5" customHeight="1">
      <c r="A192" s="3"/>
      <c r="D192" s="3"/>
      <c r="E192" s="3"/>
    </row>
    <row r="193" spans="1:5" ht="19.5" customHeight="1">
      <c r="A193" s="3"/>
      <c r="D193" s="3"/>
      <c r="E193" s="3"/>
    </row>
    <row r="194" spans="1:5" ht="19.5" customHeight="1">
      <c r="A194" s="3"/>
      <c r="D194" s="3"/>
      <c r="E194" s="3"/>
    </row>
    <row r="195" spans="1:5" ht="19.5" customHeight="1">
      <c r="A195" s="3"/>
      <c r="D195" s="3"/>
      <c r="E195" s="3"/>
    </row>
    <row r="196" spans="1:5" ht="19.5" customHeight="1">
      <c r="A196" s="3"/>
      <c r="D196" s="3"/>
      <c r="E196" s="3"/>
    </row>
    <row r="197" spans="1:5" ht="19.5" customHeight="1">
      <c r="A197" s="3"/>
      <c r="D197" s="3"/>
      <c r="E197" s="3"/>
    </row>
    <row r="198" spans="1:5" ht="19.5" customHeight="1">
      <c r="A198" s="3"/>
      <c r="D198" s="3"/>
      <c r="E198" s="3"/>
    </row>
    <row r="199" spans="1:5" ht="19.5" customHeight="1">
      <c r="A199" s="3"/>
      <c r="D199" s="3"/>
      <c r="E199" s="3"/>
    </row>
    <row r="200" spans="1:5" ht="19.5" customHeight="1">
      <c r="A200" s="3"/>
      <c r="D200" s="3"/>
      <c r="E200" s="3"/>
    </row>
    <row r="201" spans="1:5" ht="19.5" customHeight="1">
      <c r="A201" s="3"/>
      <c r="D201" s="3"/>
      <c r="E201" s="3"/>
    </row>
    <row r="202" spans="1:5" ht="19.5" customHeight="1">
      <c r="A202" s="3"/>
      <c r="D202" s="3"/>
      <c r="E202" s="3"/>
    </row>
    <row r="203" spans="1:5" ht="19.5" customHeight="1">
      <c r="A203" s="3"/>
      <c r="D203" s="3"/>
      <c r="E203" s="3"/>
    </row>
    <row r="204" spans="1:5" ht="19.5" customHeight="1">
      <c r="A204" s="3"/>
      <c r="D204" s="3"/>
      <c r="E204" s="3"/>
    </row>
    <row r="205" spans="1:5" ht="19.5" customHeight="1">
      <c r="A205" s="3"/>
      <c r="D205" s="3"/>
      <c r="E205" s="3"/>
    </row>
    <row r="206" spans="1:5" ht="19.5" customHeight="1">
      <c r="A206" s="3"/>
      <c r="D206" s="3"/>
      <c r="E206" s="3"/>
    </row>
    <row r="207" spans="1:5" ht="19.5" customHeight="1">
      <c r="A207" s="3"/>
      <c r="D207" s="3"/>
      <c r="E207" s="3"/>
    </row>
    <row r="208" spans="1:5" ht="19.5" customHeight="1">
      <c r="A208" s="3"/>
      <c r="D208" s="3"/>
      <c r="E208" s="3"/>
    </row>
    <row r="209" spans="1:5" ht="19.5" customHeight="1">
      <c r="A209" s="3"/>
      <c r="D209" s="3"/>
      <c r="E209" s="3"/>
    </row>
    <row r="210" spans="1:5" ht="19.5" customHeight="1">
      <c r="A210" s="3"/>
      <c r="D210" s="3"/>
      <c r="E210" s="3"/>
    </row>
    <row r="211" spans="1:5" ht="19.5" customHeight="1">
      <c r="A211" s="3"/>
      <c r="D211" s="3"/>
      <c r="E211" s="3"/>
    </row>
    <row r="212" spans="1:5" ht="19.5" customHeight="1">
      <c r="A212" s="3"/>
      <c r="D212" s="3"/>
      <c r="E212" s="3"/>
    </row>
    <row r="213" spans="1:5" ht="19.5" customHeight="1">
      <c r="A213" s="3"/>
      <c r="D213" s="3"/>
      <c r="E213" s="3"/>
    </row>
    <row r="214" spans="1:5" ht="19.5" customHeight="1">
      <c r="A214" s="3"/>
      <c r="D214" s="3"/>
      <c r="E214" s="3"/>
    </row>
    <row r="215" spans="1:5" ht="19.5" customHeight="1">
      <c r="A215" s="3"/>
      <c r="D215" s="3"/>
      <c r="E215" s="3"/>
    </row>
    <row r="216" spans="1:5" ht="19.5" customHeight="1">
      <c r="A216" s="3"/>
      <c r="D216" s="3"/>
      <c r="E216" s="3"/>
    </row>
    <row r="217" spans="1:5" ht="19.5" customHeight="1">
      <c r="A217" s="3"/>
      <c r="D217" s="3"/>
      <c r="E217" s="3"/>
    </row>
    <row r="218" spans="1:5" ht="19.5" customHeight="1">
      <c r="A218" s="3"/>
      <c r="D218" s="3"/>
      <c r="E218" s="3"/>
    </row>
    <row r="219" spans="1:5" ht="19.5" customHeight="1">
      <c r="A219" s="3"/>
      <c r="D219" s="3"/>
      <c r="E219" s="3"/>
    </row>
    <row r="220" spans="1:5" ht="19.5" customHeight="1">
      <c r="A220" s="3"/>
      <c r="D220" s="3"/>
      <c r="E220" s="3"/>
    </row>
    <row r="221" spans="1:5" ht="19.5" customHeight="1">
      <c r="A221" s="3"/>
      <c r="D221" s="3"/>
      <c r="E221" s="3"/>
    </row>
    <row r="222" spans="1:5" ht="19.5" customHeight="1">
      <c r="A222" s="3"/>
      <c r="D222" s="3"/>
      <c r="E222" s="3"/>
    </row>
    <row r="223" spans="1:5" ht="19.5" customHeight="1">
      <c r="A223" s="3"/>
      <c r="D223" s="3"/>
      <c r="E223" s="3"/>
    </row>
    <row r="224" spans="1:5" ht="19.5" customHeight="1">
      <c r="A224" s="3"/>
      <c r="D224" s="3"/>
      <c r="E224" s="3"/>
    </row>
    <row r="225" spans="1:5" ht="19.5" customHeight="1">
      <c r="A225" s="3"/>
      <c r="D225" s="3"/>
      <c r="E225" s="3"/>
    </row>
    <row r="226" spans="1:5" ht="19.5" customHeight="1">
      <c r="A226" s="3"/>
      <c r="D226" s="3"/>
      <c r="E226" s="3"/>
    </row>
    <row r="227" spans="1:5" ht="19.5" customHeight="1">
      <c r="A227" s="3"/>
      <c r="D227" s="3"/>
      <c r="E227" s="3"/>
    </row>
    <row r="228" spans="1:5" ht="19.5" customHeight="1">
      <c r="A228" s="3"/>
      <c r="D228" s="3"/>
      <c r="E228" s="3"/>
    </row>
    <row r="229" spans="1:5" ht="19.5" customHeight="1">
      <c r="A229" s="3"/>
      <c r="D229" s="3"/>
      <c r="E229" s="3"/>
    </row>
    <row r="230" spans="1:5" ht="19.5" customHeight="1">
      <c r="A230" s="3"/>
      <c r="D230" s="3"/>
      <c r="E230" s="3"/>
    </row>
    <row r="231" spans="1:5" ht="19.5" customHeight="1">
      <c r="A231" s="3"/>
      <c r="D231" s="3"/>
      <c r="E231" s="3"/>
    </row>
    <row r="232" spans="1:5" ht="19.5" customHeight="1">
      <c r="A232" s="3"/>
      <c r="D232" s="3"/>
      <c r="E232" s="3"/>
    </row>
    <row r="233" spans="1:5" ht="19.5" customHeight="1">
      <c r="A233" s="3"/>
      <c r="D233" s="3"/>
      <c r="E233" s="3"/>
    </row>
    <row r="234" spans="1:5" ht="19.5" customHeight="1">
      <c r="A234" s="3"/>
      <c r="D234" s="3"/>
      <c r="E234" s="3"/>
    </row>
    <row r="235" spans="1:5" ht="19.5" customHeight="1">
      <c r="A235" s="3"/>
      <c r="D235" s="3"/>
      <c r="E235" s="3"/>
    </row>
    <row r="236" spans="1:5" ht="19.5" customHeight="1">
      <c r="A236" s="3"/>
      <c r="D236" s="3"/>
      <c r="E236" s="3"/>
    </row>
    <row r="237" spans="1:5" ht="19.5" customHeight="1">
      <c r="A237" s="3"/>
      <c r="D237" s="3"/>
      <c r="E237" s="3"/>
    </row>
    <row r="238" spans="1:5" ht="19.5" customHeight="1">
      <c r="A238" s="3"/>
      <c r="D238" s="3"/>
      <c r="E238" s="3"/>
    </row>
    <row r="239" spans="1:5" ht="19.5" customHeight="1">
      <c r="A239" s="3"/>
      <c r="D239" s="3"/>
      <c r="E239" s="3"/>
    </row>
    <row r="240" spans="1:5" ht="19.5" customHeight="1">
      <c r="A240" s="3"/>
      <c r="D240" s="3"/>
      <c r="E240" s="3"/>
    </row>
    <row r="241" spans="1:5" ht="19.5" customHeight="1">
      <c r="A241" s="3"/>
      <c r="D241" s="3"/>
      <c r="E241" s="3"/>
    </row>
    <row r="242" spans="1:5" ht="19.5" customHeight="1">
      <c r="A242" s="3"/>
      <c r="D242" s="3"/>
      <c r="E242" s="3"/>
    </row>
    <row r="243" spans="1:5" ht="19.5" customHeight="1">
      <c r="A243" s="3"/>
      <c r="D243" s="3"/>
      <c r="E243" s="3"/>
    </row>
    <row r="244" spans="1:5" ht="19.5" customHeight="1">
      <c r="A244" s="3"/>
      <c r="D244" s="3"/>
      <c r="E244" s="3"/>
    </row>
    <row r="245" spans="1:5" ht="19.5" customHeight="1">
      <c r="A245" s="3"/>
      <c r="D245" s="3"/>
      <c r="E245" s="3"/>
    </row>
    <row r="246" spans="1:5" ht="19.5" customHeight="1">
      <c r="A246" s="3"/>
      <c r="D246" s="3"/>
      <c r="E246" s="3"/>
    </row>
    <row r="247" spans="1:5" ht="19.5" customHeight="1">
      <c r="A247" s="3"/>
      <c r="D247" s="3"/>
      <c r="E247" s="3"/>
    </row>
    <row r="248" spans="1:5" ht="19.5" customHeight="1">
      <c r="A248" s="3"/>
      <c r="D248" s="3"/>
      <c r="E248" s="3"/>
    </row>
    <row r="249" spans="1:5" ht="19.5" customHeight="1">
      <c r="A249" s="3"/>
      <c r="D249" s="3"/>
      <c r="E249" s="3"/>
    </row>
    <row r="250" spans="1:5" ht="19.5" customHeight="1">
      <c r="A250" s="3"/>
      <c r="D250" s="3"/>
      <c r="E250" s="3"/>
    </row>
    <row r="251" spans="1:5" ht="19.5" customHeight="1">
      <c r="A251" s="3"/>
      <c r="D251" s="3"/>
      <c r="E251" s="3"/>
    </row>
    <row r="252" spans="1:5" ht="19.5" customHeight="1">
      <c r="A252" s="3"/>
      <c r="D252" s="3"/>
      <c r="E252" s="3"/>
    </row>
    <row r="253" spans="1:5" ht="19.5" customHeight="1">
      <c r="A253" s="3"/>
      <c r="D253" s="3"/>
      <c r="E253" s="3"/>
    </row>
    <row r="254" spans="1:5" ht="19.5" customHeight="1">
      <c r="A254" s="3"/>
      <c r="D254" s="3"/>
      <c r="E254" s="3"/>
    </row>
    <row r="255" spans="1:5" ht="19.5" customHeight="1">
      <c r="A255" s="3"/>
      <c r="D255" s="3"/>
      <c r="E255" s="3"/>
    </row>
    <row r="256" spans="1:5" ht="19.5" customHeight="1">
      <c r="A256" s="3"/>
      <c r="D256" s="3"/>
      <c r="E256" s="3"/>
    </row>
    <row r="257" spans="1:5" ht="19.5" customHeight="1">
      <c r="A257" s="3"/>
      <c r="D257" s="3"/>
      <c r="E257" s="3"/>
    </row>
    <row r="258" spans="1:5" ht="19.5" customHeight="1">
      <c r="A258" s="3"/>
      <c r="D258" s="3"/>
      <c r="E258" s="3"/>
    </row>
    <row r="259" spans="1:5" ht="19.5" customHeight="1">
      <c r="A259" s="3"/>
      <c r="D259" s="3"/>
      <c r="E259" s="3"/>
    </row>
    <row r="260" spans="1:5" ht="19.5" customHeight="1">
      <c r="A260" s="3"/>
      <c r="D260" s="3"/>
      <c r="E260" s="3"/>
    </row>
    <row r="261" spans="1:5" ht="19.5" customHeight="1">
      <c r="A261" s="3"/>
      <c r="D261" s="3"/>
      <c r="E261" s="3"/>
    </row>
    <row r="262" spans="1:5" ht="19.5" customHeight="1">
      <c r="A262" s="3"/>
      <c r="D262" s="3"/>
      <c r="E262" s="3"/>
    </row>
    <row r="263" spans="1:5" ht="19.5" customHeight="1">
      <c r="A263" s="3"/>
      <c r="D263" s="3"/>
      <c r="E263" s="3"/>
    </row>
    <row r="264" spans="1:5" ht="19.5" customHeight="1">
      <c r="A264" s="3"/>
      <c r="D264" s="3"/>
      <c r="E264" s="3"/>
    </row>
    <row r="265" spans="1:5" ht="19.5" customHeight="1">
      <c r="A265" s="3"/>
      <c r="D265" s="3"/>
      <c r="E265" s="3"/>
    </row>
    <row r="266" spans="1:5" ht="19.5" customHeight="1">
      <c r="A266" s="3"/>
      <c r="D266" s="3"/>
      <c r="E266" s="3"/>
    </row>
    <row r="267" spans="1:5" ht="19.5" customHeight="1">
      <c r="A267" s="3"/>
      <c r="D267" s="3"/>
      <c r="E267" s="3"/>
    </row>
    <row r="268" spans="1:5" ht="19.5" customHeight="1">
      <c r="A268" s="3"/>
      <c r="D268" s="3"/>
      <c r="E268" s="3"/>
    </row>
    <row r="269" spans="1:5" ht="19.5" customHeight="1">
      <c r="A269" s="3"/>
      <c r="D269" s="3"/>
      <c r="E269" s="3"/>
    </row>
    <row r="270" spans="1:5" ht="19.5" customHeight="1">
      <c r="A270" s="3"/>
      <c r="D270" s="3"/>
      <c r="E270" s="3"/>
    </row>
    <row r="271" spans="1:5" ht="19.5" customHeight="1">
      <c r="A271" s="3"/>
      <c r="D271" s="3"/>
      <c r="E271" s="3"/>
    </row>
    <row r="272" spans="1:5" ht="19.5" customHeight="1">
      <c r="A272" s="3"/>
      <c r="D272" s="3"/>
      <c r="E272" s="3"/>
    </row>
    <row r="273" spans="1:5" ht="19.5" customHeight="1">
      <c r="A273" s="3"/>
      <c r="D273" s="3"/>
      <c r="E273" s="3"/>
    </row>
    <row r="274" spans="1:5" ht="19.5" customHeight="1">
      <c r="A274" s="3"/>
      <c r="D274" s="3"/>
      <c r="E274" s="3"/>
    </row>
    <row r="275" spans="1:5" ht="19.5" customHeight="1">
      <c r="A275" s="3"/>
      <c r="D275" s="3"/>
      <c r="E275" s="3"/>
    </row>
    <row r="276" spans="1:5" ht="19.5" customHeight="1">
      <c r="A276" s="3"/>
      <c r="D276" s="3"/>
      <c r="E276" s="3"/>
    </row>
    <row r="277" spans="1:5" ht="19.5" customHeight="1">
      <c r="A277" s="3"/>
      <c r="D277" s="3"/>
      <c r="E277" s="3"/>
    </row>
    <row r="278" spans="1:5" ht="19.5" customHeight="1">
      <c r="A278" s="3"/>
      <c r="D278" s="3"/>
      <c r="E278" s="3"/>
    </row>
    <row r="279" spans="1:5" ht="19.5" customHeight="1">
      <c r="A279" s="3"/>
      <c r="D279" s="3"/>
      <c r="E279" s="3"/>
    </row>
    <row r="280" spans="1:5" ht="19.5" customHeight="1">
      <c r="A280" s="3"/>
      <c r="D280" s="3"/>
      <c r="E280" s="3"/>
    </row>
    <row r="281" spans="1:5" ht="19.5" customHeight="1">
      <c r="A281" s="3"/>
      <c r="D281" s="3"/>
      <c r="E281" s="3"/>
    </row>
    <row r="282" spans="1:5" ht="19.5" customHeight="1">
      <c r="A282" s="3"/>
      <c r="D282" s="3"/>
      <c r="E282" s="3"/>
    </row>
    <row r="283" spans="1:5" ht="19.5" customHeight="1">
      <c r="A283" s="3"/>
      <c r="D283" s="3"/>
      <c r="E283" s="3"/>
    </row>
    <row r="284" spans="1:5" ht="19.5" customHeight="1">
      <c r="A284" s="3"/>
      <c r="D284" s="3"/>
      <c r="E284" s="3"/>
    </row>
    <row r="285" spans="1:5" ht="19.5" customHeight="1">
      <c r="A285" s="3"/>
      <c r="D285" s="3"/>
      <c r="E285" s="3"/>
    </row>
    <row r="286" spans="1:5" ht="19.5" customHeight="1">
      <c r="A286" s="3"/>
      <c r="D286" s="3"/>
      <c r="E286" s="3"/>
    </row>
    <row r="287" spans="1:5" ht="19.5" customHeight="1">
      <c r="A287" s="3"/>
      <c r="D287" s="3"/>
      <c r="E287" s="3"/>
    </row>
    <row r="288" spans="1:5" ht="19.5" customHeight="1">
      <c r="A288" s="3"/>
      <c r="D288" s="3"/>
      <c r="E288" s="3"/>
    </row>
    <row r="289" spans="1:5" ht="19.5" customHeight="1">
      <c r="A289" s="3"/>
      <c r="D289" s="3"/>
      <c r="E289" s="3"/>
    </row>
    <row r="290" spans="1:5" ht="19.5" customHeight="1">
      <c r="A290" s="3"/>
      <c r="D290" s="3"/>
      <c r="E290" s="3"/>
    </row>
    <row r="291" spans="1:5" ht="19.5" customHeight="1">
      <c r="A291" s="3"/>
      <c r="D291" s="3"/>
      <c r="E291" s="3"/>
    </row>
    <row r="292" spans="1:5" ht="19.5" customHeight="1">
      <c r="A292" s="3"/>
      <c r="D292" s="3"/>
      <c r="E292" s="3"/>
    </row>
    <row r="293" spans="1:5" ht="19.5" customHeight="1">
      <c r="A293" s="3"/>
      <c r="D293" s="3"/>
      <c r="E293" s="3"/>
    </row>
    <row r="294" spans="1:5" ht="19.5" customHeight="1">
      <c r="A294" s="3"/>
      <c r="D294" s="3"/>
      <c r="E294" s="3"/>
    </row>
    <row r="295" spans="1:5" ht="19.5" customHeight="1">
      <c r="A295" s="3"/>
      <c r="D295" s="3"/>
      <c r="E295" s="3"/>
    </row>
    <row r="296" spans="1:5" ht="19.5" customHeight="1">
      <c r="A296" s="3"/>
      <c r="D296" s="3"/>
      <c r="E296" s="3"/>
    </row>
    <row r="297" spans="1:5" ht="19.5" customHeight="1">
      <c r="A297" s="3"/>
      <c r="D297" s="3"/>
      <c r="E297" s="3"/>
    </row>
    <row r="298" spans="1:5" ht="19.5" customHeight="1">
      <c r="A298" s="3"/>
      <c r="D298" s="3"/>
      <c r="E298" s="3"/>
    </row>
    <row r="299" spans="1:5" ht="19.5" customHeight="1">
      <c r="A299" s="3"/>
      <c r="D299" s="3"/>
      <c r="E299" s="3"/>
    </row>
    <row r="300" spans="1:5" ht="19.5" customHeight="1">
      <c r="A300" s="3"/>
      <c r="D300" s="3"/>
      <c r="E300" s="3"/>
    </row>
    <row r="301" spans="1:5" ht="19.5" customHeight="1">
      <c r="A301" s="3"/>
      <c r="D301" s="3"/>
      <c r="E301" s="3"/>
    </row>
    <row r="302" spans="1:5" ht="19.5" customHeight="1">
      <c r="A302" s="3"/>
      <c r="D302" s="3"/>
      <c r="E302" s="3"/>
    </row>
    <row r="303" spans="1:5" ht="19.5" customHeight="1">
      <c r="A303" s="3"/>
      <c r="D303" s="3"/>
      <c r="E303" s="3"/>
    </row>
    <row r="304" spans="1:5" ht="19.5" customHeight="1">
      <c r="A304" s="3"/>
      <c r="D304" s="3"/>
      <c r="E304" s="3"/>
    </row>
    <row r="305" spans="1:5" ht="19.5" customHeight="1">
      <c r="A305" s="3"/>
      <c r="D305" s="3"/>
      <c r="E305" s="3"/>
    </row>
    <row r="306" spans="1:5" ht="19.5" customHeight="1">
      <c r="A306" s="3"/>
      <c r="D306" s="3"/>
      <c r="E306" s="3"/>
    </row>
    <row r="307" spans="1:5" ht="19.5" customHeight="1">
      <c r="A307" s="3"/>
      <c r="D307" s="3"/>
      <c r="E307" s="3"/>
    </row>
    <row r="308" spans="1:5" ht="19.5" customHeight="1">
      <c r="A308" s="3"/>
      <c r="D308" s="3"/>
      <c r="E308" s="3"/>
    </row>
    <row r="309" spans="1:5" ht="19.5" customHeight="1">
      <c r="A309" s="3"/>
      <c r="D309" s="3"/>
      <c r="E309" s="3"/>
    </row>
    <row r="310" spans="1:5" ht="19.5" customHeight="1">
      <c r="A310" s="3"/>
      <c r="D310" s="3"/>
      <c r="E310" s="3"/>
    </row>
    <row r="311" spans="1:5" ht="19.5" customHeight="1">
      <c r="A311" s="3"/>
      <c r="D311" s="3"/>
      <c r="E311" s="3"/>
    </row>
    <row r="312" spans="1:5" ht="19.5" customHeight="1">
      <c r="A312" s="3"/>
      <c r="D312" s="3"/>
      <c r="E312" s="3"/>
    </row>
    <row r="313" spans="1:5" ht="19.5" customHeight="1">
      <c r="A313" s="3"/>
      <c r="D313" s="3"/>
      <c r="E313" s="3"/>
    </row>
    <row r="314" spans="1:5" ht="19.5" customHeight="1">
      <c r="A314" s="3"/>
      <c r="D314" s="3"/>
      <c r="E314" s="3"/>
    </row>
    <row r="315" spans="1:5" ht="19.5" customHeight="1">
      <c r="A315" s="3"/>
      <c r="D315" s="3"/>
      <c r="E315" s="3"/>
    </row>
    <row r="316" spans="1:5" ht="19.5" customHeight="1">
      <c r="A316" s="3"/>
      <c r="D316" s="3"/>
      <c r="E316" s="3"/>
    </row>
    <row r="317" spans="1:5" ht="19.5" customHeight="1">
      <c r="A317" s="3"/>
      <c r="D317" s="3"/>
      <c r="E317" s="3"/>
    </row>
    <row r="318" spans="1:5" ht="19.5" customHeight="1">
      <c r="A318" s="3"/>
      <c r="D318" s="3"/>
      <c r="E318" s="3"/>
    </row>
    <row r="319" spans="1:5" ht="19.5" customHeight="1">
      <c r="A319" s="3"/>
      <c r="D319" s="3"/>
      <c r="E319" s="3"/>
    </row>
    <row r="320" spans="1:5" ht="19.5" customHeight="1">
      <c r="A320" s="3"/>
      <c r="D320" s="3"/>
      <c r="E320" s="3"/>
    </row>
    <row r="321" spans="1:5" ht="19.5" customHeight="1">
      <c r="A321" s="3"/>
      <c r="D321" s="3"/>
      <c r="E321" s="3"/>
    </row>
    <row r="322" spans="1:5" ht="19.5" customHeight="1">
      <c r="A322" s="3"/>
      <c r="D322" s="3"/>
      <c r="E322" s="3"/>
    </row>
    <row r="323" spans="1:5" ht="19.5" customHeight="1">
      <c r="A323" s="3"/>
      <c r="D323" s="3"/>
      <c r="E323" s="3"/>
    </row>
    <row r="324" spans="1:5" ht="19.5" customHeight="1">
      <c r="A324" s="3"/>
      <c r="D324" s="3"/>
      <c r="E324" s="3"/>
    </row>
    <row r="325" spans="1:5" ht="19.5" customHeight="1">
      <c r="A325" s="3"/>
      <c r="D325" s="3"/>
      <c r="E325" s="3"/>
    </row>
    <row r="326" spans="1:5" ht="19.5" customHeight="1">
      <c r="A326" s="3"/>
      <c r="D326" s="3"/>
      <c r="E326" s="3"/>
    </row>
    <row r="327" spans="1:5" ht="19.5" customHeight="1">
      <c r="A327" s="3"/>
      <c r="D327" s="3"/>
      <c r="E327" s="3"/>
    </row>
    <row r="328" spans="1:5" ht="19.5" customHeight="1">
      <c r="A328" s="3"/>
      <c r="D328" s="3"/>
      <c r="E328" s="3"/>
    </row>
    <row r="329" spans="1:5" ht="19.5" customHeight="1">
      <c r="A329" s="3"/>
      <c r="D329" s="3"/>
      <c r="E329" s="3"/>
    </row>
    <row r="330" spans="1:5" ht="19.5" customHeight="1">
      <c r="A330" s="3"/>
      <c r="D330" s="3"/>
      <c r="E330" s="3"/>
    </row>
    <row r="331" spans="1:5" ht="19.5" customHeight="1">
      <c r="A331" s="3"/>
      <c r="D331" s="3"/>
      <c r="E331" s="3"/>
    </row>
    <row r="332" spans="1:5" ht="19.5" customHeight="1">
      <c r="A332" s="3"/>
      <c r="D332" s="3"/>
      <c r="E332" s="3"/>
    </row>
    <row r="333" spans="1:5" ht="19.5" customHeight="1">
      <c r="A333" s="3"/>
      <c r="D333" s="3"/>
      <c r="E333" s="3"/>
    </row>
    <row r="334" spans="1:5" ht="19.5" customHeight="1">
      <c r="A334" s="3"/>
      <c r="D334" s="3"/>
      <c r="E334" s="3"/>
    </row>
    <row r="335" spans="1:5" ht="19.5" customHeight="1">
      <c r="A335" s="3"/>
      <c r="D335" s="3"/>
      <c r="E335" s="3"/>
    </row>
    <row r="336" spans="1:5" ht="19.5" customHeight="1">
      <c r="A336" s="3"/>
      <c r="D336" s="3"/>
      <c r="E336" s="3"/>
    </row>
    <row r="337" spans="1:5" ht="19.5" customHeight="1">
      <c r="A337" s="3"/>
      <c r="D337" s="3"/>
      <c r="E337" s="3"/>
    </row>
    <row r="338" spans="1:5" ht="19.5" customHeight="1">
      <c r="A338" s="3"/>
      <c r="D338" s="3"/>
      <c r="E338" s="3"/>
    </row>
    <row r="339" spans="1:5" ht="19.5" customHeight="1">
      <c r="A339" s="3"/>
      <c r="D339" s="3"/>
      <c r="E339" s="3"/>
    </row>
    <row r="340" spans="1:5" ht="19.5" customHeight="1">
      <c r="A340" s="3"/>
      <c r="D340" s="3"/>
      <c r="E340" s="3"/>
    </row>
    <row r="341" spans="1:5" ht="19.5" customHeight="1">
      <c r="A341" s="3"/>
      <c r="D341" s="3"/>
      <c r="E341" s="3"/>
    </row>
    <row r="342" spans="1:5" ht="19.5" customHeight="1">
      <c r="A342" s="3"/>
      <c r="D342" s="3"/>
      <c r="E342" s="3"/>
    </row>
    <row r="343" spans="1:5" ht="19.5" customHeight="1">
      <c r="A343" s="3"/>
      <c r="D343" s="3"/>
      <c r="E343" s="3"/>
    </row>
    <row r="344" spans="1:5" ht="19.5" customHeight="1">
      <c r="A344" s="3"/>
      <c r="D344" s="3"/>
      <c r="E344" s="3"/>
    </row>
    <row r="345" spans="1:5" ht="19.5" customHeight="1">
      <c r="A345" s="3"/>
      <c r="D345" s="3"/>
      <c r="E345" s="3"/>
    </row>
    <row r="346" spans="1:5" ht="19.5" customHeight="1">
      <c r="A346" s="3"/>
      <c r="D346" s="3"/>
      <c r="E346" s="3"/>
    </row>
    <row r="347" spans="1:5" ht="19.5" customHeight="1">
      <c r="A347" s="3"/>
      <c r="D347" s="3"/>
      <c r="E347" s="3"/>
    </row>
    <row r="348" spans="1:5" ht="19.5" customHeight="1">
      <c r="A348" s="3"/>
      <c r="D348" s="3"/>
      <c r="E348" s="3"/>
    </row>
    <row r="349" spans="1:5" ht="19.5" customHeight="1">
      <c r="A349" s="3"/>
      <c r="D349" s="3"/>
      <c r="E349" s="3"/>
    </row>
    <row r="350" spans="1:5" ht="19.5" customHeight="1">
      <c r="A350" s="3"/>
      <c r="D350" s="3"/>
      <c r="E350" s="3"/>
    </row>
    <row r="351" spans="1:5" ht="19.5" customHeight="1">
      <c r="A351" s="3"/>
      <c r="D351" s="3"/>
      <c r="E351" s="3"/>
    </row>
    <row r="352" spans="1:5" ht="19.5" customHeight="1">
      <c r="A352" s="3"/>
      <c r="D352" s="3"/>
      <c r="E352" s="3"/>
    </row>
    <row r="353" spans="1:5" ht="19.5" customHeight="1">
      <c r="A353" s="3"/>
      <c r="D353" s="3"/>
      <c r="E353" s="3"/>
    </row>
    <row r="354" spans="1:5" ht="19.5" customHeight="1">
      <c r="A354" s="3"/>
      <c r="D354" s="3"/>
      <c r="E354" s="3"/>
    </row>
    <row r="355" spans="1:5" ht="19.5" customHeight="1">
      <c r="A355" s="3"/>
      <c r="D355" s="3"/>
      <c r="E355" s="3"/>
    </row>
    <row r="356" spans="1:5" ht="19.5" customHeight="1">
      <c r="A356" s="3"/>
      <c r="D356" s="3"/>
      <c r="E356" s="3"/>
    </row>
    <row r="357" spans="1:5" ht="19.5" customHeight="1">
      <c r="A357" s="3"/>
      <c r="D357" s="3"/>
      <c r="E357" s="3"/>
    </row>
    <row r="358" spans="1:5" ht="19.5" customHeight="1">
      <c r="A358" s="3"/>
      <c r="D358" s="3"/>
      <c r="E358" s="3"/>
    </row>
    <row r="359" spans="1:5" ht="19.5" customHeight="1">
      <c r="A359" s="3"/>
      <c r="D359" s="3"/>
      <c r="E359" s="3"/>
    </row>
    <row r="360" spans="1:5" ht="19.5" customHeight="1">
      <c r="A360" s="3"/>
      <c r="D360" s="3"/>
      <c r="E360" s="3"/>
    </row>
    <row r="361" spans="1:5" ht="19.5" customHeight="1">
      <c r="A361" s="3"/>
      <c r="D361" s="3"/>
      <c r="E361" s="3"/>
    </row>
    <row r="362" spans="1:5" ht="19.5" customHeight="1">
      <c r="A362" s="3"/>
      <c r="D362" s="3"/>
      <c r="E362" s="3"/>
    </row>
    <row r="363" spans="1:5" ht="19.5" customHeight="1">
      <c r="A363" s="3"/>
      <c r="D363" s="3"/>
      <c r="E363" s="3"/>
    </row>
    <row r="364" spans="1:5" ht="19.5" customHeight="1">
      <c r="A364" s="3"/>
      <c r="D364" s="3"/>
      <c r="E364" s="3"/>
    </row>
    <row r="365" spans="1:5" ht="19.5" customHeight="1">
      <c r="A365" s="3"/>
      <c r="D365" s="3"/>
      <c r="E365" s="3"/>
    </row>
    <row r="366" spans="1:5" ht="19.5" customHeight="1">
      <c r="A366" s="3"/>
      <c r="D366" s="3"/>
      <c r="E366" s="3"/>
    </row>
    <row r="367" spans="1:5" ht="19.5" customHeight="1">
      <c r="A367" s="3"/>
      <c r="D367" s="3"/>
      <c r="E367" s="3"/>
    </row>
    <row r="368" spans="1:5" ht="19.5" customHeight="1">
      <c r="A368" s="3"/>
      <c r="D368" s="3"/>
      <c r="E368" s="3"/>
    </row>
    <row r="369" spans="1:5" ht="19.5" customHeight="1">
      <c r="A369" s="3"/>
      <c r="D369" s="3"/>
      <c r="E369" s="3"/>
    </row>
    <row r="370" spans="1:5" ht="19.5" customHeight="1">
      <c r="A370" s="3"/>
      <c r="D370" s="3"/>
      <c r="E370" s="3"/>
    </row>
    <row r="371" spans="1:5" ht="19.5" customHeight="1">
      <c r="A371" s="3"/>
      <c r="D371" s="3"/>
      <c r="E371" s="3"/>
    </row>
    <row r="372" spans="1:5" ht="19.5" customHeight="1">
      <c r="A372" s="3"/>
      <c r="D372" s="3"/>
      <c r="E372" s="3"/>
    </row>
    <row r="373" spans="1:5" ht="19.5" customHeight="1">
      <c r="A373" s="3"/>
      <c r="D373" s="3"/>
      <c r="E373" s="3"/>
    </row>
    <row r="374" spans="1:5" ht="19.5" customHeight="1">
      <c r="A374" s="3"/>
      <c r="D374" s="3"/>
      <c r="E374" s="3"/>
    </row>
    <row r="375" spans="1:5" ht="19.5" customHeight="1">
      <c r="A375" s="3"/>
      <c r="D375" s="3"/>
      <c r="E375" s="3"/>
    </row>
    <row r="376" spans="1:5" ht="19.5" customHeight="1">
      <c r="A376" s="3"/>
      <c r="D376" s="3"/>
      <c r="E376" s="3"/>
    </row>
    <row r="377" spans="1:5" ht="19.5" customHeight="1">
      <c r="A377" s="3"/>
      <c r="D377" s="3"/>
      <c r="E377" s="3"/>
    </row>
    <row r="378" spans="1:5" ht="19.5" customHeight="1">
      <c r="A378" s="3"/>
      <c r="D378" s="3"/>
      <c r="E378" s="3"/>
    </row>
    <row r="379" spans="1:5" ht="19.5" customHeight="1">
      <c r="A379" s="3"/>
      <c r="D379" s="3"/>
      <c r="E379" s="3"/>
    </row>
    <row r="380" spans="1:5" ht="19.5" customHeight="1">
      <c r="A380" s="3"/>
      <c r="D380" s="3"/>
      <c r="E380" s="3"/>
    </row>
    <row r="381" spans="1:5" ht="19.5" customHeight="1">
      <c r="A381" s="3"/>
      <c r="D381" s="3"/>
      <c r="E381" s="3"/>
    </row>
    <row r="382" spans="1:5" ht="19.5" customHeight="1">
      <c r="A382" s="3"/>
      <c r="D382" s="3"/>
      <c r="E382" s="3"/>
    </row>
    <row r="383" spans="1:5" ht="19.5" customHeight="1">
      <c r="A383" s="3"/>
      <c r="D383" s="3"/>
      <c r="E383" s="3"/>
    </row>
    <row r="384" spans="1:5" ht="19.5" customHeight="1">
      <c r="A384" s="3"/>
      <c r="D384" s="3"/>
      <c r="E384" s="3"/>
    </row>
    <row r="385" spans="1:5" ht="19.5" customHeight="1">
      <c r="A385" s="3"/>
      <c r="D385" s="3"/>
      <c r="E385" s="3"/>
    </row>
    <row r="386" spans="1:5" ht="19.5" customHeight="1">
      <c r="A386" s="3"/>
      <c r="D386" s="3"/>
      <c r="E386" s="3"/>
    </row>
    <row r="387" spans="1:5" ht="19.5" customHeight="1">
      <c r="A387" s="3"/>
      <c r="D387" s="3"/>
      <c r="E387" s="3"/>
    </row>
    <row r="388" spans="1:5" ht="19.5" customHeight="1">
      <c r="A388" s="3"/>
      <c r="D388" s="3"/>
      <c r="E388" s="3"/>
    </row>
    <row r="389" spans="1:5" ht="19.5" customHeight="1">
      <c r="A389" s="3"/>
      <c r="D389" s="3"/>
      <c r="E389" s="3"/>
    </row>
    <row r="390" spans="1:5" ht="19.5" customHeight="1">
      <c r="A390" s="3"/>
      <c r="D390" s="3"/>
      <c r="E390" s="3"/>
    </row>
    <row r="391" spans="1:5" ht="19.5" customHeight="1">
      <c r="A391" s="3"/>
      <c r="D391" s="3"/>
      <c r="E391" s="3"/>
    </row>
    <row r="392" spans="1:5" ht="19.5" customHeight="1">
      <c r="A392" s="3"/>
      <c r="D392" s="3"/>
      <c r="E392" s="3"/>
    </row>
    <row r="393" spans="1:5" ht="19.5" customHeight="1">
      <c r="A393" s="3"/>
      <c r="D393" s="3"/>
      <c r="E393" s="3"/>
    </row>
    <row r="394" spans="1:5" ht="19.5" customHeight="1">
      <c r="A394" s="3"/>
      <c r="D394" s="3"/>
      <c r="E394" s="3"/>
    </row>
    <row r="395" spans="1:5" ht="19.5" customHeight="1">
      <c r="A395" s="3"/>
      <c r="D395" s="3"/>
      <c r="E395" s="3"/>
    </row>
    <row r="396" spans="1:5" ht="19.5" customHeight="1">
      <c r="A396" s="3"/>
      <c r="D396" s="3"/>
      <c r="E396" s="3"/>
    </row>
    <row r="397" spans="1:5" ht="19.5" customHeight="1">
      <c r="A397" s="3"/>
      <c r="D397" s="3"/>
      <c r="E397" s="3"/>
    </row>
    <row r="398" spans="1:5" ht="19.5" customHeight="1">
      <c r="A398" s="3"/>
      <c r="D398" s="3"/>
      <c r="E398" s="3"/>
    </row>
    <row r="399" spans="1:5" ht="19.5" customHeight="1">
      <c r="A399" s="3"/>
      <c r="D399" s="3"/>
      <c r="E399" s="3"/>
    </row>
    <row r="400" spans="1:5" ht="19.5" customHeight="1">
      <c r="A400" s="3"/>
      <c r="D400" s="3"/>
      <c r="E400" s="3"/>
    </row>
    <row r="401" spans="1:5" ht="19.5" customHeight="1">
      <c r="A401" s="3"/>
      <c r="D401" s="3"/>
      <c r="E401" s="3"/>
    </row>
    <row r="402" spans="1:5" ht="19.5" customHeight="1">
      <c r="A402" s="3"/>
      <c r="D402" s="3"/>
      <c r="E402" s="3"/>
    </row>
    <row r="403" spans="1:5" ht="19.5" customHeight="1">
      <c r="A403" s="3"/>
      <c r="D403" s="3"/>
      <c r="E403" s="3"/>
    </row>
    <row r="404" spans="1:5" ht="19.5" customHeight="1">
      <c r="A404" s="3"/>
      <c r="D404" s="3"/>
      <c r="E404" s="3"/>
    </row>
    <row r="405" spans="1:5" ht="19.5" customHeight="1">
      <c r="A405" s="3"/>
      <c r="D405" s="3"/>
      <c r="E405" s="3"/>
    </row>
    <row r="406" spans="1:5" ht="19.5" customHeight="1">
      <c r="A406" s="3"/>
      <c r="D406" s="3"/>
      <c r="E406" s="3"/>
    </row>
    <row r="407" spans="1:5" ht="19.5" customHeight="1">
      <c r="A407" s="3"/>
      <c r="D407" s="3"/>
      <c r="E407" s="3"/>
    </row>
    <row r="408" spans="1:5" ht="19.5" customHeight="1">
      <c r="A408" s="3"/>
      <c r="D408" s="3"/>
      <c r="E408" s="3"/>
    </row>
    <row r="409" spans="1:5" ht="19.5" customHeight="1">
      <c r="A409" s="3"/>
      <c r="D409" s="3"/>
      <c r="E409" s="3"/>
    </row>
    <row r="410" spans="1:5" ht="19.5" customHeight="1">
      <c r="A410" s="3"/>
      <c r="D410" s="3"/>
      <c r="E410" s="3"/>
    </row>
    <row r="411" spans="1:5" ht="19.5" customHeight="1">
      <c r="A411" s="3"/>
      <c r="D411" s="3"/>
      <c r="E411" s="3"/>
    </row>
    <row r="412" spans="1:5" ht="19.5" customHeight="1">
      <c r="A412" s="3"/>
      <c r="D412" s="3"/>
      <c r="E412" s="3"/>
    </row>
    <row r="413" spans="1:5" ht="19.5" customHeight="1">
      <c r="A413" s="3"/>
      <c r="D413" s="3"/>
      <c r="E413" s="3"/>
    </row>
    <row r="414" spans="1:5" ht="19.5" customHeight="1">
      <c r="A414" s="3"/>
      <c r="D414" s="3"/>
      <c r="E414" s="3"/>
    </row>
    <row r="415" spans="1:5" ht="19.5" customHeight="1">
      <c r="A415" s="3"/>
      <c r="D415" s="3"/>
      <c r="E415" s="3"/>
    </row>
    <row r="416" spans="1:5" ht="19.5" customHeight="1">
      <c r="A416" s="3"/>
      <c r="D416" s="3"/>
      <c r="E416" s="3"/>
    </row>
    <row r="417" spans="1:5" ht="19.5" customHeight="1">
      <c r="A417" s="3"/>
      <c r="D417" s="3"/>
      <c r="E417" s="3"/>
    </row>
    <row r="418" spans="1:5" ht="19.5" customHeight="1">
      <c r="A418" s="3"/>
      <c r="D418" s="3"/>
      <c r="E418" s="3"/>
    </row>
    <row r="419" spans="1:5" ht="19.5" customHeight="1">
      <c r="A419" s="3"/>
      <c r="D419" s="3"/>
      <c r="E419" s="3"/>
    </row>
    <row r="420" spans="1:5" ht="19.5" customHeight="1">
      <c r="A420" s="3"/>
      <c r="D420" s="3"/>
      <c r="E420" s="3"/>
    </row>
    <row r="421" spans="1:5" ht="19.5" customHeight="1">
      <c r="A421" s="3"/>
      <c r="D421" s="3"/>
      <c r="E421" s="3"/>
    </row>
    <row r="422" spans="1:5" ht="19.5" customHeight="1">
      <c r="A422" s="3"/>
      <c r="D422" s="3"/>
      <c r="E422" s="3"/>
    </row>
    <row r="423" spans="1:5" ht="19.5" customHeight="1">
      <c r="A423" s="3"/>
      <c r="D423" s="3"/>
      <c r="E423" s="3"/>
    </row>
    <row r="424" spans="1:5" ht="19.5" customHeight="1">
      <c r="A424" s="3"/>
      <c r="D424" s="3"/>
      <c r="E424" s="3"/>
    </row>
    <row r="425" spans="1:5" ht="19.5" customHeight="1">
      <c r="A425" s="3"/>
      <c r="D425" s="3"/>
      <c r="E425" s="3"/>
    </row>
    <row r="426" spans="1:5" ht="19.5" customHeight="1">
      <c r="A426" s="3"/>
      <c r="D426" s="3"/>
      <c r="E426" s="3"/>
    </row>
    <row r="427" spans="1:5" ht="19.5" customHeight="1">
      <c r="A427" s="3"/>
      <c r="D427" s="3"/>
      <c r="E427" s="3"/>
    </row>
    <row r="428" spans="1:5" ht="19.5" customHeight="1">
      <c r="A428" s="3"/>
      <c r="D428" s="3"/>
      <c r="E428" s="3"/>
    </row>
    <row r="429" spans="1:5" ht="19.5" customHeight="1">
      <c r="A429" s="3"/>
      <c r="D429" s="3"/>
      <c r="E429" s="3"/>
    </row>
    <row r="430" spans="1:5" ht="19.5" customHeight="1">
      <c r="A430" s="3"/>
      <c r="D430" s="3"/>
      <c r="E430" s="3"/>
    </row>
    <row r="431" spans="1:5" ht="19.5" customHeight="1">
      <c r="A431" s="3"/>
      <c r="D431" s="3"/>
      <c r="E431" s="3"/>
    </row>
    <row r="432" spans="1:5" ht="19.5" customHeight="1">
      <c r="A432" s="3"/>
      <c r="D432" s="3"/>
      <c r="E432" s="3"/>
    </row>
    <row r="433" spans="1:5" ht="19.5" customHeight="1">
      <c r="A433" s="3"/>
      <c r="D433" s="3"/>
      <c r="E433" s="3"/>
    </row>
    <row r="434" spans="1:5" ht="19.5" customHeight="1">
      <c r="A434" s="3"/>
      <c r="D434" s="3"/>
      <c r="E434" s="3"/>
    </row>
    <row r="435" spans="1:5" ht="19.5" customHeight="1">
      <c r="A435" s="3"/>
      <c r="D435" s="3"/>
      <c r="E435" s="3"/>
    </row>
    <row r="436" spans="1:5" ht="19.5" customHeight="1">
      <c r="A436" s="3"/>
      <c r="D436" s="3"/>
      <c r="E436" s="3"/>
    </row>
    <row r="437" spans="1:5" ht="19.5" customHeight="1">
      <c r="A437" s="3"/>
      <c r="D437" s="3"/>
      <c r="E437" s="3"/>
    </row>
    <row r="438" spans="1:5" ht="19.5" customHeight="1">
      <c r="A438" s="3"/>
      <c r="D438" s="3"/>
      <c r="E438" s="3"/>
    </row>
    <row r="439" spans="1:5" ht="19.5" customHeight="1">
      <c r="A439" s="3"/>
      <c r="D439" s="3"/>
      <c r="E439" s="3"/>
    </row>
    <row r="440" spans="1:5" ht="19.5" customHeight="1">
      <c r="A440" s="3"/>
      <c r="D440" s="3"/>
      <c r="E440" s="3"/>
    </row>
    <row r="441" spans="1:5" ht="19.5" customHeight="1">
      <c r="A441" s="3"/>
      <c r="D441" s="3"/>
      <c r="E441" s="3"/>
    </row>
    <row r="442" spans="1:5" ht="19.5" customHeight="1">
      <c r="A442" s="3"/>
      <c r="D442" s="3"/>
      <c r="E442" s="3"/>
    </row>
    <row r="443" spans="1:5" ht="19.5" customHeight="1">
      <c r="A443" s="3"/>
      <c r="D443" s="3"/>
      <c r="E443" s="3"/>
    </row>
    <row r="444" spans="1:5" ht="19.5" customHeight="1">
      <c r="A444" s="3"/>
      <c r="D444" s="3"/>
      <c r="E444" s="3"/>
    </row>
    <row r="445" spans="1:5" ht="19.5" customHeight="1">
      <c r="A445" s="3"/>
      <c r="D445" s="3"/>
      <c r="E445" s="3"/>
    </row>
    <row r="446" spans="1:5" ht="19.5" customHeight="1">
      <c r="A446" s="3"/>
      <c r="D446" s="3"/>
      <c r="E446" s="3"/>
    </row>
    <row r="447" spans="1:5" ht="19.5" customHeight="1">
      <c r="A447" s="3"/>
      <c r="D447" s="3"/>
      <c r="E447" s="3"/>
    </row>
    <row r="448" spans="1:5" ht="19.5" customHeight="1">
      <c r="A448" s="3"/>
      <c r="D448" s="3"/>
      <c r="E448" s="3"/>
    </row>
    <row r="449" spans="1:5" ht="19.5" customHeight="1">
      <c r="A449" s="3"/>
      <c r="D449" s="3"/>
      <c r="E449" s="3"/>
    </row>
    <row r="450" spans="1:5" ht="19.5" customHeight="1">
      <c r="A450" s="3"/>
      <c r="D450" s="3"/>
      <c r="E450" s="3"/>
    </row>
    <row r="451" spans="1:5" ht="19.5" customHeight="1">
      <c r="A451" s="3"/>
      <c r="D451" s="3"/>
      <c r="E451" s="3"/>
    </row>
    <row r="452" spans="1:5" ht="19.5" customHeight="1">
      <c r="A452" s="3"/>
      <c r="D452" s="3"/>
      <c r="E452" s="3"/>
    </row>
    <row r="453" spans="1:5" ht="19.5" customHeight="1">
      <c r="A453" s="3"/>
      <c r="D453" s="3"/>
      <c r="E453" s="3"/>
    </row>
    <row r="454" spans="1:5" ht="19.5" customHeight="1">
      <c r="A454" s="3"/>
      <c r="D454" s="3"/>
      <c r="E454" s="3"/>
    </row>
    <row r="455" spans="1:5" ht="19.5" customHeight="1">
      <c r="A455" s="3"/>
      <c r="D455" s="3"/>
      <c r="E455" s="3"/>
    </row>
    <row r="456" spans="1:5" ht="19.5" customHeight="1">
      <c r="A456" s="3"/>
      <c r="D456" s="3"/>
      <c r="E456" s="3"/>
    </row>
    <row r="457" spans="1:5" ht="19.5" customHeight="1">
      <c r="A457" s="3"/>
      <c r="D457" s="3"/>
      <c r="E457" s="3"/>
    </row>
    <row r="458" spans="1:5" ht="19.5" customHeight="1">
      <c r="A458" s="3"/>
      <c r="D458" s="3"/>
      <c r="E458" s="3"/>
    </row>
    <row r="459" spans="1:5" ht="19.5" customHeight="1">
      <c r="A459" s="3"/>
      <c r="D459" s="3"/>
      <c r="E459" s="3"/>
    </row>
    <row r="460" spans="1:5" ht="19.5" customHeight="1">
      <c r="A460" s="3"/>
      <c r="D460" s="3"/>
      <c r="E460" s="3"/>
    </row>
    <row r="461" spans="1:5" ht="19.5" customHeight="1">
      <c r="A461" s="3"/>
      <c r="D461" s="3"/>
      <c r="E461" s="3"/>
    </row>
    <row r="462" spans="1:5" ht="19.5" customHeight="1">
      <c r="A462" s="3"/>
      <c r="D462" s="3"/>
      <c r="E462" s="3"/>
    </row>
    <row r="463" spans="1:5" ht="19.5" customHeight="1">
      <c r="A463" s="3"/>
      <c r="D463" s="3"/>
      <c r="E463" s="3"/>
    </row>
    <row r="464" spans="1:5" ht="19.5" customHeight="1">
      <c r="A464" s="3"/>
      <c r="D464" s="3"/>
      <c r="E464" s="3"/>
    </row>
    <row r="465" spans="1:5" ht="19.5" customHeight="1">
      <c r="A465" s="3"/>
      <c r="D465" s="3"/>
      <c r="E465" s="3"/>
    </row>
    <row r="466" spans="1:5" ht="19.5" customHeight="1">
      <c r="A466" s="3"/>
      <c r="D466" s="3"/>
      <c r="E466" s="3"/>
    </row>
    <row r="467" spans="1:5" ht="19.5" customHeight="1">
      <c r="A467" s="3"/>
      <c r="D467" s="3"/>
      <c r="E467" s="3"/>
    </row>
    <row r="468" spans="1:5" ht="19.5" customHeight="1">
      <c r="A468" s="3"/>
      <c r="D468" s="3"/>
      <c r="E468" s="3"/>
    </row>
    <row r="469" spans="1:5" ht="19.5" customHeight="1">
      <c r="A469" s="3"/>
      <c r="D469" s="3"/>
      <c r="E469" s="3"/>
    </row>
    <row r="470" spans="1:5" ht="19.5" customHeight="1">
      <c r="A470" s="3"/>
      <c r="D470" s="3"/>
      <c r="E470" s="3"/>
    </row>
    <row r="471" spans="1:5" ht="19.5" customHeight="1">
      <c r="A471" s="3"/>
      <c r="D471" s="3"/>
      <c r="E471" s="3"/>
    </row>
    <row r="472" spans="1:5" ht="19.5" customHeight="1">
      <c r="A472" s="3"/>
      <c r="D472" s="3"/>
      <c r="E472" s="3"/>
    </row>
    <row r="473" spans="1:5" ht="19.5" customHeight="1">
      <c r="A473" s="3"/>
      <c r="D473" s="3"/>
      <c r="E473" s="3"/>
    </row>
    <row r="474" spans="1:5" ht="19.5" customHeight="1">
      <c r="A474" s="3"/>
      <c r="D474" s="3"/>
      <c r="E474" s="3"/>
    </row>
    <row r="475" spans="1:5" ht="19.5" customHeight="1">
      <c r="A475" s="3"/>
      <c r="D475" s="3"/>
      <c r="E475" s="3"/>
    </row>
    <row r="476" spans="1:5" ht="19.5" customHeight="1">
      <c r="A476" s="3"/>
      <c r="D476" s="3"/>
      <c r="E476" s="3"/>
    </row>
    <row r="477" spans="1:5" ht="19.5" customHeight="1">
      <c r="A477" s="3"/>
      <c r="D477" s="3"/>
      <c r="E477" s="3"/>
    </row>
    <row r="478" spans="1:5" ht="19.5" customHeight="1">
      <c r="A478" s="3"/>
      <c r="D478" s="3"/>
      <c r="E478" s="3"/>
    </row>
    <row r="479" spans="1:5" ht="19.5" customHeight="1">
      <c r="A479" s="3"/>
      <c r="D479" s="3"/>
      <c r="E479" s="3"/>
    </row>
    <row r="480" spans="1:5" ht="19.5" customHeight="1">
      <c r="A480" s="3"/>
      <c r="D480" s="3"/>
      <c r="E480" s="3"/>
    </row>
    <row r="481" spans="1:5" ht="19.5" customHeight="1">
      <c r="A481" s="3"/>
      <c r="D481" s="3"/>
      <c r="E481" s="3"/>
    </row>
    <row r="482" spans="1:5" ht="19.5" customHeight="1">
      <c r="A482" s="3"/>
      <c r="D482" s="3"/>
      <c r="E482" s="3"/>
    </row>
    <row r="483" spans="1:5" ht="19.5" customHeight="1">
      <c r="A483" s="3"/>
      <c r="D483" s="3"/>
      <c r="E483" s="3"/>
    </row>
    <row r="484" spans="1:5" ht="19.5" customHeight="1">
      <c r="A484" s="3"/>
      <c r="D484" s="3"/>
      <c r="E484" s="3"/>
    </row>
    <row r="485" spans="1:5" ht="19.5" customHeight="1">
      <c r="A485" s="3"/>
      <c r="D485" s="3"/>
      <c r="E485" s="3"/>
    </row>
    <row r="486" spans="1:5" ht="19.5" customHeight="1">
      <c r="A486" s="3"/>
      <c r="D486" s="3"/>
      <c r="E486" s="3"/>
    </row>
    <row r="487" spans="1:5" ht="19.5" customHeight="1">
      <c r="A487" s="3"/>
      <c r="D487" s="3"/>
      <c r="E487" s="3"/>
    </row>
    <row r="488" spans="1:5" ht="19.5" customHeight="1">
      <c r="A488" s="3"/>
      <c r="D488" s="3"/>
      <c r="E488" s="3"/>
    </row>
    <row r="489" spans="1:5" ht="19.5" customHeight="1">
      <c r="A489" s="3"/>
      <c r="D489" s="3"/>
      <c r="E489" s="3"/>
    </row>
    <row r="490" spans="1:5" ht="19.5" customHeight="1">
      <c r="A490" s="3"/>
      <c r="D490" s="3"/>
      <c r="E490" s="3"/>
    </row>
    <row r="491" spans="1:5" ht="19.5" customHeight="1">
      <c r="A491" s="3"/>
      <c r="D491" s="3"/>
      <c r="E491" s="3"/>
    </row>
    <row r="492" spans="1:5" ht="19.5" customHeight="1">
      <c r="A492" s="3"/>
      <c r="D492" s="3"/>
      <c r="E492" s="3"/>
    </row>
    <row r="493" spans="1:5" ht="19.5" customHeight="1">
      <c r="A493" s="3"/>
      <c r="D493" s="3"/>
      <c r="E493" s="3"/>
    </row>
    <row r="494" spans="1:5" ht="19.5" customHeight="1">
      <c r="A494" s="3"/>
      <c r="D494" s="3"/>
      <c r="E494" s="3"/>
    </row>
    <row r="495" spans="1:5" ht="19.5" customHeight="1">
      <c r="A495" s="3"/>
      <c r="D495" s="3"/>
      <c r="E495" s="3"/>
    </row>
    <row r="496" spans="1:5" ht="19.5" customHeight="1">
      <c r="A496" s="3"/>
      <c r="D496" s="3"/>
      <c r="E496" s="3"/>
    </row>
    <row r="497" spans="1:5" ht="19.5" customHeight="1">
      <c r="A497" s="3"/>
      <c r="D497" s="3"/>
      <c r="E497" s="3"/>
    </row>
    <row r="498" spans="1:5" ht="19.5" customHeight="1">
      <c r="A498" s="3"/>
      <c r="D498" s="3"/>
      <c r="E498" s="3"/>
    </row>
    <row r="499" spans="1:5" ht="19.5" customHeight="1">
      <c r="A499" s="3"/>
      <c r="D499" s="3"/>
      <c r="E499" s="3"/>
    </row>
    <row r="500" spans="1:5" ht="19.5" customHeight="1">
      <c r="A500" s="3"/>
      <c r="D500" s="3"/>
      <c r="E500" s="3"/>
    </row>
    <row r="501" spans="1:5" ht="19.5" customHeight="1">
      <c r="A501" s="3"/>
      <c r="D501" s="3"/>
      <c r="E501" s="3"/>
    </row>
    <row r="502" spans="1:5" ht="19.5" customHeight="1">
      <c r="A502" s="3"/>
      <c r="D502" s="3"/>
      <c r="E502" s="3"/>
    </row>
    <row r="503" spans="1:5" ht="19.5" customHeight="1">
      <c r="A503" s="3"/>
      <c r="D503" s="3"/>
      <c r="E503" s="3"/>
    </row>
    <row r="504" spans="1:5" ht="19.5" customHeight="1">
      <c r="A504" s="3"/>
      <c r="D504" s="3"/>
      <c r="E504" s="3"/>
    </row>
    <row r="505" spans="1:5" ht="19.5" customHeight="1">
      <c r="A505" s="3"/>
      <c r="D505" s="3"/>
      <c r="E505" s="3"/>
    </row>
    <row r="506" spans="1:5" ht="19.5" customHeight="1">
      <c r="A506" s="3"/>
      <c r="D506" s="3"/>
      <c r="E506" s="3"/>
    </row>
    <row r="507" spans="1:5" ht="19.5" customHeight="1">
      <c r="A507" s="3"/>
      <c r="D507" s="3"/>
      <c r="E507" s="3"/>
    </row>
    <row r="508" spans="1:5" ht="19.5" customHeight="1">
      <c r="A508" s="3"/>
      <c r="D508" s="3"/>
      <c r="E508" s="3"/>
    </row>
    <row r="509" spans="1:5" ht="19.5" customHeight="1">
      <c r="A509" s="3"/>
      <c r="D509" s="3"/>
      <c r="E509" s="3"/>
    </row>
    <row r="510" spans="1:5" ht="19.5" customHeight="1">
      <c r="A510" s="3"/>
      <c r="D510" s="3"/>
      <c r="E510" s="3"/>
    </row>
    <row r="511" spans="1:5" ht="19.5" customHeight="1">
      <c r="A511" s="3"/>
      <c r="D511" s="3"/>
      <c r="E511" s="3"/>
    </row>
    <row r="512" spans="1:5" ht="19.5" customHeight="1">
      <c r="A512" s="3"/>
      <c r="D512" s="3"/>
      <c r="E512" s="3"/>
    </row>
    <row r="513" spans="1:5" ht="19.5" customHeight="1">
      <c r="A513" s="3"/>
      <c r="D513" s="3"/>
      <c r="E513" s="3"/>
    </row>
    <row r="514" spans="1:5" ht="19.5" customHeight="1">
      <c r="A514" s="3"/>
      <c r="D514" s="3"/>
      <c r="E514" s="3"/>
    </row>
    <row r="515" spans="1:5" ht="19.5" customHeight="1">
      <c r="A515" s="3"/>
      <c r="D515" s="3"/>
      <c r="E515" s="3"/>
    </row>
    <row r="516" spans="1:5" ht="19.5" customHeight="1">
      <c r="A516" s="3"/>
      <c r="D516" s="3"/>
      <c r="E516" s="3"/>
    </row>
    <row r="517" spans="1:5" ht="19.5" customHeight="1">
      <c r="A517" s="3"/>
      <c r="D517" s="3"/>
      <c r="E517" s="3"/>
    </row>
    <row r="518" spans="1:5" ht="19.5" customHeight="1">
      <c r="A518" s="3"/>
      <c r="D518" s="3"/>
      <c r="E518" s="3"/>
    </row>
    <row r="519" spans="1:5" ht="19.5" customHeight="1">
      <c r="A519" s="3"/>
      <c r="D519" s="3"/>
      <c r="E519" s="3"/>
    </row>
    <row r="520" spans="1:5" ht="19.5" customHeight="1">
      <c r="A520" s="3"/>
      <c r="D520" s="3"/>
      <c r="E520" s="3"/>
    </row>
    <row r="521" spans="1:5" ht="19.5" customHeight="1">
      <c r="A521" s="3"/>
      <c r="D521" s="3"/>
      <c r="E521" s="3"/>
    </row>
    <row r="522" spans="1:5" ht="19.5" customHeight="1">
      <c r="A522" s="3"/>
      <c r="D522" s="3"/>
      <c r="E522" s="3"/>
    </row>
    <row r="523" spans="1:5" ht="19.5" customHeight="1">
      <c r="A523" s="3"/>
      <c r="D523" s="3"/>
      <c r="E523" s="3"/>
    </row>
    <row r="524" spans="1:5" ht="19.5" customHeight="1">
      <c r="A524" s="3"/>
      <c r="D524" s="3"/>
      <c r="E524" s="3"/>
    </row>
    <row r="525" spans="1:5" ht="19.5" customHeight="1">
      <c r="A525" s="3"/>
      <c r="D525" s="3"/>
      <c r="E525" s="3"/>
    </row>
    <row r="526" spans="1:5" ht="19.5" customHeight="1">
      <c r="A526" s="3"/>
      <c r="D526" s="3"/>
      <c r="E526" s="3"/>
    </row>
    <row r="527" spans="1:5" ht="19.5" customHeight="1">
      <c r="A527" s="3"/>
      <c r="D527" s="3"/>
      <c r="E527" s="3"/>
    </row>
    <row r="528" spans="1:5" ht="19.5" customHeight="1">
      <c r="A528" s="3"/>
      <c r="D528" s="3"/>
      <c r="E528" s="3"/>
    </row>
    <row r="529" spans="1:5" ht="19.5" customHeight="1">
      <c r="A529" s="3"/>
      <c r="D529" s="3"/>
      <c r="E529" s="3"/>
    </row>
    <row r="530" spans="1:5" ht="19.5" customHeight="1">
      <c r="A530" s="3"/>
      <c r="D530" s="3"/>
      <c r="E530" s="3"/>
    </row>
    <row r="531" spans="1:5" ht="19.5" customHeight="1">
      <c r="A531" s="3"/>
      <c r="D531" s="3"/>
      <c r="E531" s="3"/>
    </row>
    <row r="532" spans="1:5" ht="19.5" customHeight="1">
      <c r="A532" s="3"/>
      <c r="D532" s="3"/>
      <c r="E532" s="3"/>
    </row>
    <row r="533" spans="1:5" ht="19.5" customHeight="1">
      <c r="A533" s="3"/>
      <c r="D533" s="3"/>
      <c r="E533" s="3"/>
    </row>
    <row r="534" spans="1:5" ht="19.5" customHeight="1">
      <c r="A534" s="3"/>
      <c r="D534" s="3"/>
      <c r="E534" s="3"/>
    </row>
    <row r="535" spans="1:5" ht="19.5" customHeight="1">
      <c r="A535" s="3"/>
      <c r="D535" s="3"/>
      <c r="E535" s="3"/>
    </row>
    <row r="536" spans="1:5" ht="19.5" customHeight="1">
      <c r="A536" s="3"/>
      <c r="D536" s="3"/>
      <c r="E536" s="3"/>
    </row>
    <row r="537" spans="1:5" ht="19.5" customHeight="1">
      <c r="A537" s="3"/>
      <c r="D537" s="3"/>
      <c r="E537" s="3"/>
    </row>
    <row r="538" spans="1:5" ht="19.5" customHeight="1">
      <c r="A538" s="3"/>
      <c r="D538" s="3"/>
      <c r="E538" s="3"/>
    </row>
    <row r="539" spans="1:5" ht="19.5" customHeight="1">
      <c r="A539" s="3"/>
      <c r="D539" s="3"/>
      <c r="E539" s="3"/>
    </row>
    <row r="540" spans="1:5" ht="19.5" customHeight="1">
      <c r="A540" s="3"/>
      <c r="D540" s="3"/>
      <c r="E540" s="3"/>
    </row>
    <row r="541" spans="1:5" ht="19.5" customHeight="1">
      <c r="A541" s="3"/>
      <c r="D541" s="3"/>
      <c r="E541" s="3"/>
    </row>
    <row r="542" spans="1:5" ht="19.5" customHeight="1">
      <c r="A542" s="3"/>
      <c r="D542" s="3"/>
      <c r="E542" s="3"/>
    </row>
    <row r="543" spans="1:5" ht="19.5" customHeight="1">
      <c r="A543" s="3"/>
      <c r="D543" s="3"/>
      <c r="E543" s="3"/>
    </row>
    <row r="544" spans="1:5" ht="19.5" customHeight="1">
      <c r="A544" s="3"/>
      <c r="D544" s="3"/>
      <c r="E544" s="3"/>
    </row>
    <row r="545" spans="1:5" ht="19.5" customHeight="1">
      <c r="A545" s="3"/>
      <c r="D545" s="3"/>
      <c r="E545" s="3"/>
    </row>
    <row r="546" spans="1:5" ht="19.5" customHeight="1">
      <c r="A546" s="3"/>
      <c r="D546" s="3"/>
      <c r="E546" s="3"/>
    </row>
    <row r="547" spans="1:5" ht="19.5" customHeight="1">
      <c r="A547" s="3"/>
      <c r="D547" s="3"/>
      <c r="E547" s="3"/>
    </row>
    <row r="548" spans="1:5" ht="19.5" customHeight="1">
      <c r="A548" s="3"/>
      <c r="D548" s="3"/>
      <c r="E548" s="3"/>
    </row>
    <row r="549" spans="1:5" ht="19.5" customHeight="1">
      <c r="A549" s="3"/>
      <c r="D549" s="3"/>
      <c r="E549" s="3"/>
    </row>
    <row r="550" spans="1:5" ht="19.5" customHeight="1">
      <c r="A550" s="3"/>
      <c r="D550" s="3"/>
      <c r="E550" s="3"/>
    </row>
    <row r="551" spans="1:5" ht="19.5" customHeight="1">
      <c r="A551" s="3"/>
      <c r="D551" s="3"/>
      <c r="E551" s="3"/>
    </row>
    <row r="552" spans="1:5" ht="19.5" customHeight="1">
      <c r="A552" s="3"/>
      <c r="D552" s="3"/>
      <c r="E552" s="3"/>
    </row>
    <row r="553" spans="1:5" ht="19.5" customHeight="1">
      <c r="A553" s="3"/>
      <c r="D553" s="3"/>
      <c r="E553" s="3"/>
    </row>
    <row r="554" spans="1:5" ht="19.5" customHeight="1">
      <c r="A554" s="3"/>
      <c r="D554" s="3"/>
      <c r="E554" s="3"/>
    </row>
    <row r="555" spans="1:5" ht="19.5" customHeight="1">
      <c r="A555" s="3"/>
      <c r="D555" s="3"/>
      <c r="E555" s="3"/>
    </row>
    <row r="556" spans="1:5" ht="19.5" customHeight="1">
      <c r="A556" s="3"/>
      <c r="D556" s="3"/>
      <c r="E556" s="3"/>
    </row>
    <row r="557" spans="1:5" ht="19.5" customHeight="1">
      <c r="A557" s="3"/>
      <c r="D557" s="3"/>
      <c r="E557" s="3"/>
    </row>
    <row r="558" spans="1:5" ht="19.5" customHeight="1">
      <c r="A558" s="3"/>
      <c r="D558" s="3"/>
      <c r="E558" s="3"/>
    </row>
    <row r="559" spans="1:5" ht="19.5" customHeight="1">
      <c r="A559" s="3"/>
      <c r="D559" s="3"/>
      <c r="E559" s="3"/>
    </row>
    <row r="560" spans="1:5" ht="19.5" customHeight="1">
      <c r="A560" s="3"/>
      <c r="D560" s="3"/>
      <c r="E560" s="3"/>
    </row>
    <row r="561" spans="1:5" ht="19.5" customHeight="1">
      <c r="A561" s="3"/>
      <c r="D561" s="3"/>
      <c r="E561" s="3"/>
    </row>
    <row r="562" spans="1:5" ht="19.5" customHeight="1">
      <c r="A562" s="3"/>
      <c r="D562" s="3"/>
      <c r="E562" s="3"/>
    </row>
    <row r="563" spans="1:5" ht="19.5" customHeight="1">
      <c r="A563" s="3"/>
      <c r="D563" s="3"/>
      <c r="E563" s="3"/>
    </row>
    <row r="564" spans="1:5" ht="19.5" customHeight="1">
      <c r="A564" s="3"/>
      <c r="D564" s="3"/>
      <c r="E564" s="3"/>
    </row>
    <row r="565" spans="1:5" ht="19.5" customHeight="1">
      <c r="A565" s="3"/>
      <c r="D565" s="3"/>
      <c r="E565" s="3"/>
    </row>
    <row r="566" spans="1:5" ht="19.5" customHeight="1">
      <c r="A566" s="3"/>
      <c r="D566" s="3"/>
      <c r="E566" s="3"/>
    </row>
    <row r="567" spans="1:5" ht="19.5" customHeight="1">
      <c r="A567" s="3"/>
      <c r="D567" s="3"/>
      <c r="E567" s="3"/>
    </row>
    <row r="568" spans="1:5" ht="19.5" customHeight="1">
      <c r="A568" s="3"/>
      <c r="D568" s="3"/>
      <c r="E568" s="3"/>
    </row>
    <row r="569" spans="1:5" ht="19.5" customHeight="1">
      <c r="A569" s="3"/>
      <c r="D569" s="3"/>
      <c r="E569" s="3"/>
    </row>
    <row r="570" spans="1:5" ht="19.5" customHeight="1">
      <c r="A570" s="3"/>
      <c r="D570" s="3"/>
      <c r="E570" s="3"/>
    </row>
    <row r="571" spans="1:5" ht="19.5" customHeight="1">
      <c r="A571" s="3"/>
      <c r="D571" s="3"/>
      <c r="E571" s="3"/>
    </row>
    <row r="572" spans="1:5" ht="19.5" customHeight="1">
      <c r="A572" s="3"/>
      <c r="D572" s="3"/>
      <c r="E572" s="3"/>
    </row>
    <row r="573" spans="1:5" ht="19.5" customHeight="1">
      <c r="A573" s="3"/>
      <c r="D573" s="3"/>
      <c r="E573" s="3"/>
    </row>
    <row r="574" spans="1:5" ht="19.5" customHeight="1">
      <c r="A574" s="3"/>
      <c r="D574" s="3"/>
      <c r="E574" s="3"/>
    </row>
    <row r="575" spans="1:5" ht="19.5" customHeight="1">
      <c r="A575" s="3"/>
      <c r="D575" s="3"/>
      <c r="E575" s="3"/>
    </row>
    <row r="576" spans="1:5" ht="19.5" customHeight="1">
      <c r="A576" s="3"/>
      <c r="D576" s="3"/>
      <c r="E576" s="3"/>
    </row>
    <row r="577" spans="1:5" ht="19.5" customHeight="1">
      <c r="A577" s="3"/>
      <c r="D577" s="3"/>
      <c r="E577" s="3"/>
    </row>
    <row r="578" spans="1:5" ht="19.5" customHeight="1">
      <c r="A578" s="3"/>
      <c r="D578" s="3"/>
      <c r="E578" s="3"/>
    </row>
    <row r="579" spans="1:5" ht="19.5" customHeight="1">
      <c r="A579" s="3"/>
      <c r="D579" s="3"/>
      <c r="E579" s="3"/>
    </row>
    <row r="580" spans="1:5" ht="19.5" customHeight="1">
      <c r="A580" s="3"/>
      <c r="D580" s="3"/>
      <c r="E580" s="3"/>
    </row>
    <row r="581" spans="1:5" ht="19.5" customHeight="1">
      <c r="A581" s="3"/>
      <c r="D581" s="3"/>
      <c r="E581" s="3"/>
    </row>
    <row r="582" spans="1:5" ht="19.5" customHeight="1">
      <c r="A582" s="3"/>
      <c r="D582" s="3"/>
      <c r="E582" s="3"/>
    </row>
    <row r="583" spans="1:5" ht="19.5" customHeight="1">
      <c r="A583" s="3"/>
      <c r="D583" s="3"/>
      <c r="E583" s="3"/>
    </row>
    <row r="584" spans="1:5" ht="19.5" customHeight="1">
      <c r="A584" s="3"/>
      <c r="D584" s="3"/>
      <c r="E584" s="3"/>
    </row>
    <row r="585" spans="1:5" ht="19.5" customHeight="1">
      <c r="A585" s="3"/>
      <c r="D585" s="3"/>
      <c r="E585" s="3"/>
    </row>
    <row r="586" spans="1:5" ht="19.5" customHeight="1">
      <c r="A586" s="3"/>
      <c r="D586" s="3"/>
      <c r="E586" s="3"/>
    </row>
    <row r="587" spans="1:5" ht="19.5" customHeight="1">
      <c r="A587" s="3"/>
      <c r="D587" s="3"/>
      <c r="E587" s="3"/>
    </row>
    <row r="588" spans="1:5" ht="19.5" customHeight="1">
      <c r="A588" s="3"/>
      <c r="D588" s="3"/>
      <c r="E588" s="3"/>
    </row>
    <row r="589" spans="1:5" ht="19.5" customHeight="1">
      <c r="A589" s="3"/>
      <c r="D589" s="3"/>
      <c r="E589" s="3"/>
    </row>
    <row r="590" spans="1:5" ht="19.5" customHeight="1">
      <c r="A590" s="3"/>
      <c r="D590" s="3"/>
      <c r="E590" s="3"/>
    </row>
    <row r="591" spans="1:5" ht="19.5" customHeight="1">
      <c r="A591" s="3"/>
      <c r="D591" s="3"/>
      <c r="E591" s="3"/>
    </row>
    <row r="592" spans="1:5" ht="19.5" customHeight="1">
      <c r="A592" s="3"/>
      <c r="D592" s="3"/>
      <c r="E592" s="3"/>
    </row>
    <row r="593" spans="1:5" ht="19.5" customHeight="1">
      <c r="A593" s="3"/>
      <c r="D593" s="3"/>
      <c r="E593" s="3"/>
    </row>
    <row r="594" spans="1:5" ht="19.5" customHeight="1">
      <c r="A594" s="3"/>
      <c r="D594" s="3"/>
      <c r="E594" s="3"/>
    </row>
    <row r="595" spans="1:5" ht="19.5" customHeight="1">
      <c r="A595" s="3"/>
      <c r="D595" s="3"/>
      <c r="E595" s="3"/>
    </row>
    <row r="596" spans="1:5" ht="19.5" customHeight="1">
      <c r="A596" s="3"/>
      <c r="D596" s="3"/>
      <c r="E596" s="3"/>
    </row>
    <row r="597" spans="1:5" ht="19.5" customHeight="1">
      <c r="A597" s="3"/>
      <c r="D597" s="3"/>
      <c r="E597" s="3"/>
    </row>
    <row r="598" spans="1:5" ht="19.5" customHeight="1">
      <c r="A598" s="3"/>
      <c r="D598" s="3"/>
      <c r="E598" s="3"/>
    </row>
    <row r="599" spans="1:5" ht="19.5" customHeight="1">
      <c r="A599" s="3"/>
      <c r="D599" s="3"/>
      <c r="E599" s="3"/>
    </row>
    <row r="600" spans="1:5" ht="19.5" customHeight="1">
      <c r="A600" s="3"/>
      <c r="D600" s="3"/>
      <c r="E600" s="3"/>
    </row>
    <row r="601" spans="1:5" ht="19.5" customHeight="1">
      <c r="A601" s="3"/>
      <c r="D601" s="3"/>
      <c r="E601" s="3"/>
    </row>
    <row r="602" spans="1:5" ht="19.5" customHeight="1">
      <c r="A602" s="3"/>
      <c r="D602" s="3"/>
      <c r="E602" s="3"/>
    </row>
    <row r="603" spans="1:5" ht="19.5" customHeight="1">
      <c r="A603" s="3"/>
      <c r="D603" s="3"/>
      <c r="E603" s="3"/>
    </row>
    <row r="604" spans="1:5" ht="19.5" customHeight="1">
      <c r="A604" s="3"/>
      <c r="D604" s="3"/>
      <c r="E604" s="3"/>
    </row>
    <row r="605" spans="1:5" ht="19.5" customHeight="1">
      <c r="A605" s="3"/>
      <c r="D605" s="3"/>
      <c r="E605" s="3"/>
    </row>
    <row r="606" spans="1:5" ht="19.5" customHeight="1">
      <c r="A606" s="3"/>
      <c r="D606" s="3"/>
      <c r="E606" s="3"/>
    </row>
    <row r="607" spans="1:5" ht="19.5" customHeight="1">
      <c r="A607" s="3"/>
      <c r="D607" s="3"/>
      <c r="E607" s="3"/>
    </row>
    <row r="608" spans="1:5" ht="19.5" customHeight="1">
      <c r="A608" s="3"/>
      <c r="D608" s="3"/>
      <c r="E608" s="3"/>
    </row>
    <row r="609" spans="1:5" ht="19.5" customHeight="1">
      <c r="A609" s="3"/>
      <c r="D609" s="3"/>
      <c r="E609" s="3"/>
    </row>
    <row r="610" spans="1:5" ht="19.5" customHeight="1">
      <c r="A610" s="3"/>
      <c r="D610" s="3"/>
      <c r="E610" s="3"/>
    </row>
    <row r="611" spans="1:5" ht="19.5" customHeight="1">
      <c r="A611" s="3"/>
      <c r="D611" s="3"/>
      <c r="E611" s="3"/>
    </row>
    <row r="612" spans="1:5" ht="19.5" customHeight="1">
      <c r="A612" s="3"/>
      <c r="D612" s="3"/>
      <c r="E612" s="3"/>
    </row>
    <row r="613" spans="1:5" ht="19.5" customHeight="1">
      <c r="A613" s="3"/>
      <c r="D613" s="3"/>
      <c r="E613" s="3"/>
    </row>
    <row r="614" spans="1:5" ht="19.5" customHeight="1">
      <c r="A614" s="3"/>
      <c r="D614" s="3"/>
      <c r="E614" s="3"/>
    </row>
    <row r="615" spans="1:5" ht="19.5" customHeight="1">
      <c r="A615" s="3"/>
      <c r="D615" s="3"/>
      <c r="E615" s="3"/>
    </row>
    <row r="616" spans="1:5" ht="19.5" customHeight="1">
      <c r="A616" s="3"/>
      <c r="D616" s="3"/>
      <c r="E616" s="3"/>
    </row>
    <row r="617" spans="1:5" ht="19.5" customHeight="1">
      <c r="A617" s="3"/>
      <c r="D617" s="3"/>
      <c r="E617" s="3"/>
    </row>
    <row r="618" spans="1:5" ht="19.5" customHeight="1">
      <c r="A618" s="3"/>
      <c r="D618" s="3"/>
      <c r="E618" s="3"/>
    </row>
    <row r="619" spans="1:5" ht="19.5" customHeight="1">
      <c r="A619" s="3"/>
      <c r="D619" s="3"/>
      <c r="E619" s="3"/>
    </row>
    <row r="620" spans="1:5" ht="19.5" customHeight="1">
      <c r="A620" s="3"/>
      <c r="D620" s="3"/>
      <c r="E620" s="3"/>
    </row>
    <row r="621" spans="1:5" ht="19.5" customHeight="1">
      <c r="A621" s="3"/>
      <c r="D621" s="3"/>
      <c r="E621" s="3"/>
    </row>
    <row r="622" spans="1:5" ht="19.5" customHeight="1">
      <c r="A622" s="3"/>
      <c r="D622" s="3"/>
      <c r="E622" s="3"/>
    </row>
    <row r="623" spans="1:5" ht="19.5" customHeight="1">
      <c r="A623" s="3"/>
      <c r="D623" s="3"/>
      <c r="E623" s="3"/>
    </row>
    <row r="624" spans="1:5" ht="19.5" customHeight="1">
      <c r="A624" s="3"/>
      <c r="D624" s="3"/>
      <c r="E624" s="3"/>
    </row>
    <row r="625" spans="1:5" ht="19.5" customHeight="1">
      <c r="A625" s="3"/>
      <c r="D625" s="3"/>
      <c r="E625" s="3"/>
    </row>
    <row r="626" spans="1:5" ht="19.5" customHeight="1">
      <c r="A626" s="3"/>
      <c r="D626" s="3"/>
      <c r="E626" s="3"/>
    </row>
    <row r="627" spans="1:5" ht="19.5" customHeight="1">
      <c r="A627" s="3"/>
      <c r="D627" s="3"/>
      <c r="E627" s="3"/>
    </row>
    <row r="628" spans="1:5" ht="19.5" customHeight="1">
      <c r="A628" s="3"/>
      <c r="D628" s="3"/>
      <c r="E628" s="3"/>
    </row>
    <row r="629" spans="1:5" ht="19.5" customHeight="1">
      <c r="A629" s="3"/>
      <c r="D629" s="3"/>
      <c r="E629" s="3"/>
    </row>
    <row r="630" spans="1:5" ht="19.5" customHeight="1">
      <c r="A630" s="3"/>
      <c r="D630" s="3"/>
      <c r="E630" s="3"/>
    </row>
    <row r="631" spans="1:5" ht="19.5" customHeight="1">
      <c r="A631" s="3"/>
      <c r="D631" s="3"/>
      <c r="E631" s="3"/>
    </row>
    <row r="632" spans="1:5" ht="19.5" customHeight="1">
      <c r="A632" s="3"/>
      <c r="D632" s="3"/>
      <c r="E632" s="3"/>
    </row>
    <row r="633" spans="1:5" ht="19.5" customHeight="1">
      <c r="A633" s="3"/>
      <c r="D633" s="3"/>
      <c r="E633" s="3"/>
    </row>
    <row r="634" spans="1:5" ht="19.5" customHeight="1">
      <c r="A634" s="3"/>
      <c r="D634" s="3"/>
      <c r="E634" s="3"/>
    </row>
    <row r="635" spans="1:5" ht="19.5" customHeight="1">
      <c r="A635" s="3"/>
      <c r="D635" s="3"/>
      <c r="E635" s="3"/>
    </row>
    <row r="636" spans="1:5" ht="19.5" customHeight="1">
      <c r="A636" s="3"/>
      <c r="D636" s="3"/>
      <c r="E636" s="3"/>
    </row>
    <row r="637" spans="1:5" ht="19.5" customHeight="1">
      <c r="A637" s="3"/>
      <c r="D637" s="3"/>
      <c r="E637" s="3"/>
    </row>
    <row r="638" spans="1:5" ht="19.5" customHeight="1">
      <c r="A638" s="3"/>
      <c r="D638" s="3"/>
      <c r="E638" s="3"/>
    </row>
    <row r="639" spans="1:5" ht="19.5" customHeight="1">
      <c r="A639" s="3"/>
      <c r="D639" s="3"/>
      <c r="E639" s="3"/>
    </row>
    <row r="640" spans="1:5" ht="19.5" customHeight="1">
      <c r="A640" s="3"/>
      <c r="D640" s="3"/>
      <c r="E640" s="3"/>
    </row>
    <row r="641" spans="1:5" ht="19.5" customHeight="1">
      <c r="A641" s="3"/>
      <c r="D641" s="3"/>
      <c r="E641" s="3"/>
    </row>
    <row r="642" spans="1:5" ht="19.5" customHeight="1">
      <c r="A642" s="3"/>
      <c r="D642" s="3"/>
      <c r="E642" s="3"/>
    </row>
    <row r="643" spans="1:5" ht="19.5" customHeight="1">
      <c r="A643" s="3"/>
      <c r="D643" s="3"/>
      <c r="E643" s="3"/>
    </row>
    <row r="644" spans="1:5" ht="19.5" customHeight="1">
      <c r="A644" s="3"/>
      <c r="D644" s="3"/>
      <c r="E644" s="3"/>
    </row>
    <row r="645" spans="1:5" ht="19.5" customHeight="1">
      <c r="A645" s="3"/>
      <c r="D645" s="3"/>
      <c r="E645" s="3"/>
    </row>
    <row r="646" spans="1:5" ht="19.5" customHeight="1">
      <c r="A646" s="3"/>
      <c r="D646" s="3"/>
      <c r="E646" s="3"/>
    </row>
    <row r="647" spans="1:5" ht="19.5" customHeight="1">
      <c r="A647" s="3"/>
      <c r="D647" s="3"/>
      <c r="E647" s="3"/>
    </row>
    <row r="648" spans="1:5" ht="19.5" customHeight="1">
      <c r="A648" s="3"/>
      <c r="D648" s="3"/>
      <c r="E648" s="3"/>
    </row>
    <row r="649" spans="1:5" ht="19.5" customHeight="1">
      <c r="A649" s="3"/>
      <c r="D649" s="3"/>
      <c r="E649" s="3"/>
    </row>
    <row r="650" spans="1:5" ht="19.5" customHeight="1">
      <c r="A650" s="3"/>
      <c r="D650" s="3"/>
      <c r="E650" s="3"/>
    </row>
    <row r="651" spans="1:5" ht="19.5" customHeight="1">
      <c r="A651" s="3"/>
      <c r="D651" s="3"/>
      <c r="E651" s="3"/>
    </row>
    <row r="652" spans="1:5" ht="19.5" customHeight="1">
      <c r="A652" s="3"/>
      <c r="D652" s="3"/>
      <c r="E652" s="3"/>
    </row>
    <row r="653" spans="1:5" ht="19.5" customHeight="1">
      <c r="A653" s="3"/>
      <c r="D653" s="3"/>
      <c r="E653" s="3"/>
    </row>
    <row r="654" spans="1:5" ht="19.5" customHeight="1">
      <c r="A654" s="3"/>
      <c r="D654" s="3"/>
      <c r="E654" s="3"/>
    </row>
    <row r="655" spans="1:5" ht="19.5" customHeight="1">
      <c r="A655" s="3"/>
      <c r="D655" s="3"/>
      <c r="E655" s="3"/>
    </row>
    <row r="656" spans="1:5" ht="19.5" customHeight="1">
      <c r="A656" s="3"/>
      <c r="D656" s="3"/>
      <c r="E656" s="3"/>
    </row>
    <row r="657" spans="1:5" ht="19.5" customHeight="1">
      <c r="A657" s="3"/>
      <c r="D657" s="3"/>
      <c r="E657" s="3"/>
    </row>
    <row r="658" spans="1:5" ht="19.5" customHeight="1">
      <c r="A658" s="3"/>
      <c r="D658" s="3"/>
      <c r="E658" s="3"/>
    </row>
    <row r="659" spans="1:5" ht="19.5" customHeight="1">
      <c r="A659" s="3"/>
      <c r="D659" s="3"/>
      <c r="E659" s="3"/>
    </row>
    <row r="660" spans="1:5" ht="19.5" customHeight="1">
      <c r="A660" s="3"/>
      <c r="D660" s="3"/>
      <c r="E660" s="3"/>
    </row>
    <row r="661" spans="1:5" ht="19.5" customHeight="1">
      <c r="A661" s="3"/>
      <c r="D661" s="3"/>
      <c r="E661" s="3"/>
    </row>
    <row r="662" spans="1:5" ht="19.5" customHeight="1">
      <c r="A662" s="3"/>
      <c r="D662" s="3"/>
      <c r="E662" s="3"/>
    </row>
    <row r="663" spans="1:5" ht="19.5" customHeight="1">
      <c r="A663" s="3"/>
      <c r="D663" s="3"/>
      <c r="E663" s="3"/>
    </row>
    <row r="664" spans="1:5" ht="19.5" customHeight="1">
      <c r="A664" s="3"/>
      <c r="D664" s="3"/>
      <c r="E664" s="3"/>
    </row>
    <row r="665" spans="1:5" ht="19.5" customHeight="1">
      <c r="A665" s="3"/>
      <c r="D665" s="3"/>
      <c r="E665" s="3"/>
    </row>
    <row r="666" spans="1:5" ht="19.5" customHeight="1">
      <c r="A666" s="3"/>
      <c r="D666" s="3"/>
      <c r="E666" s="3"/>
    </row>
    <row r="667" spans="1:5" ht="19.5" customHeight="1">
      <c r="A667" s="3"/>
      <c r="D667" s="3"/>
      <c r="E667" s="3"/>
    </row>
    <row r="668" spans="1:5" ht="19.5" customHeight="1">
      <c r="A668" s="3"/>
      <c r="D668" s="3"/>
      <c r="E668" s="3"/>
    </row>
    <row r="669" spans="1:5" ht="19.5" customHeight="1">
      <c r="A669" s="3"/>
      <c r="D669" s="3"/>
      <c r="E669" s="3"/>
    </row>
    <row r="670" spans="1:5" ht="19.5" customHeight="1">
      <c r="A670" s="3"/>
      <c r="D670" s="3"/>
      <c r="E670" s="3"/>
    </row>
    <row r="671" spans="1:5" ht="19.5" customHeight="1">
      <c r="A671" s="3"/>
      <c r="D671" s="3"/>
      <c r="E671" s="3"/>
    </row>
    <row r="672" spans="1:5" ht="19.5" customHeight="1">
      <c r="A672" s="3"/>
      <c r="D672" s="3"/>
      <c r="E672" s="3"/>
    </row>
    <row r="673" spans="1:5" ht="19.5" customHeight="1">
      <c r="A673" s="3"/>
      <c r="D673" s="3"/>
      <c r="E673" s="3"/>
    </row>
    <row r="674" spans="1:5" ht="19.5" customHeight="1">
      <c r="A674" s="3"/>
      <c r="D674" s="3"/>
      <c r="E674" s="3"/>
    </row>
    <row r="675" spans="1:5" ht="19.5" customHeight="1">
      <c r="A675" s="3"/>
      <c r="D675" s="3"/>
      <c r="E675" s="3"/>
    </row>
    <row r="676" spans="1:5" ht="19.5" customHeight="1">
      <c r="A676" s="3"/>
      <c r="D676" s="3"/>
      <c r="E676" s="3"/>
    </row>
    <row r="677" spans="1:5" ht="19.5" customHeight="1">
      <c r="A677" s="3"/>
      <c r="D677" s="3"/>
      <c r="E677" s="3"/>
    </row>
    <row r="678" spans="1:5" ht="19.5" customHeight="1">
      <c r="A678" s="3"/>
      <c r="D678" s="3"/>
      <c r="E678" s="3"/>
    </row>
    <row r="679" spans="1:5" ht="19.5" customHeight="1">
      <c r="A679" s="3"/>
      <c r="D679" s="3"/>
      <c r="E679" s="3"/>
    </row>
    <row r="680" spans="1:5" ht="19.5" customHeight="1">
      <c r="A680" s="3"/>
      <c r="D680" s="3"/>
      <c r="E680" s="3"/>
    </row>
    <row r="681" spans="1:5" ht="19.5" customHeight="1">
      <c r="A681" s="3"/>
      <c r="D681" s="3"/>
      <c r="E681" s="3"/>
    </row>
    <row r="682" spans="1:5" ht="19.5" customHeight="1">
      <c r="A682" s="3"/>
      <c r="D682" s="3"/>
      <c r="E682" s="3"/>
    </row>
    <row r="683" spans="1:5" ht="19.5" customHeight="1">
      <c r="A683" s="3"/>
      <c r="D683" s="3"/>
      <c r="E683" s="3"/>
    </row>
    <row r="684" spans="1:5" ht="19.5" customHeight="1">
      <c r="A684" s="3"/>
      <c r="D684" s="3"/>
      <c r="E684" s="3"/>
    </row>
    <row r="685" spans="1:5" ht="19.5" customHeight="1">
      <c r="A685" s="3"/>
      <c r="D685" s="3"/>
      <c r="E685" s="3"/>
    </row>
    <row r="686" spans="1:5" ht="19.5" customHeight="1">
      <c r="A686" s="3"/>
      <c r="D686" s="3"/>
      <c r="E686" s="3"/>
    </row>
    <row r="687" spans="1:5" ht="19.5" customHeight="1">
      <c r="A687" s="3"/>
      <c r="D687" s="3"/>
      <c r="E687" s="3"/>
    </row>
    <row r="688" spans="1:5" ht="19.5" customHeight="1">
      <c r="A688" s="3"/>
      <c r="D688" s="3"/>
      <c r="E688" s="3"/>
    </row>
    <row r="689" spans="1:5" ht="19.5" customHeight="1">
      <c r="A689" s="3"/>
      <c r="D689" s="3"/>
      <c r="E689" s="3"/>
    </row>
    <row r="690" spans="1:5" ht="19.5" customHeight="1">
      <c r="A690" s="3"/>
      <c r="D690" s="3"/>
      <c r="E690" s="3"/>
    </row>
    <row r="691" spans="1:5" ht="19.5" customHeight="1">
      <c r="A691" s="3"/>
      <c r="D691" s="3"/>
      <c r="E691" s="3"/>
    </row>
    <row r="692" spans="1:5" ht="19.5" customHeight="1">
      <c r="A692" s="3"/>
      <c r="D692" s="3"/>
      <c r="E692" s="3"/>
    </row>
    <row r="693" spans="1:5" ht="19.5" customHeight="1">
      <c r="A693" s="3"/>
      <c r="D693" s="3"/>
      <c r="E693" s="3"/>
    </row>
    <row r="694" spans="1:5" ht="19.5" customHeight="1">
      <c r="A694" s="3"/>
      <c r="D694" s="3"/>
      <c r="E694" s="3"/>
    </row>
    <row r="695" spans="1:5" ht="19.5" customHeight="1">
      <c r="A695" s="3"/>
      <c r="D695" s="3"/>
      <c r="E695" s="3"/>
    </row>
    <row r="696" spans="1:5" ht="19.5" customHeight="1">
      <c r="A696" s="3"/>
      <c r="D696" s="3"/>
      <c r="E696" s="3"/>
    </row>
    <row r="697" spans="1:5" ht="19.5" customHeight="1">
      <c r="A697" s="3"/>
      <c r="D697" s="3"/>
      <c r="E697" s="3"/>
    </row>
    <row r="698" spans="1:5" ht="19.5" customHeight="1">
      <c r="A698" s="3"/>
      <c r="D698" s="3"/>
      <c r="E698" s="3"/>
    </row>
    <row r="699" spans="1:5" ht="19.5" customHeight="1">
      <c r="A699" s="3"/>
      <c r="D699" s="3"/>
      <c r="E699" s="3"/>
    </row>
    <row r="700" spans="1:5" ht="19.5" customHeight="1">
      <c r="A700" s="3"/>
      <c r="D700" s="3"/>
      <c r="E700" s="3"/>
    </row>
    <row r="701" spans="1:5" ht="19.5" customHeight="1">
      <c r="A701" s="3"/>
      <c r="D701" s="3"/>
      <c r="E701" s="3"/>
    </row>
    <row r="702" spans="1:5" ht="19.5" customHeight="1">
      <c r="A702" s="3"/>
      <c r="D702" s="3"/>
      <c r="E702" s="3"/>
    </row>
    <row r="703" spans="1:5" ht="19.5" customHeight="1">
      <c r="A703" s="3"/>
      <c r="D703" s="3"/>
      <c r="E703" s="3"/>
    </row>
    <row r="704" spans="1:5" ht="19.5" customHeight="1">
      <c r="A704" s="3"/>
      <c r="D704" s="3"/>
      <c r="E704" s="3"/>
    </row>
    <row r="705" spans="1:5" ht="19.5" customHeight="1">
      <c r="A705" s="3"/>
      <c r="D705" s="3"/>
      <c r="E705" s="3"/>
    </row>
    <row r="706" spans="1:5" ht="19.5" customHeight="1">
      <c r="A706" s="3"/>
      <c r="D706" s="3"/>
      <c r="E706" s="3"/>
    </row>
    <row r="707" spans="1:5" ht="19.5" customHeight="1">
      <c r="A707" s="3"/>
      <c r="D707" s="3"/>
      <c r="E707" s="3"/>
    </row>
    <row r="708" spans="1:5" ht="19.5" customHeight="1">
      <c r="A708" s="3"/>
      <c r="D708" s="3"/>
      <c r="E708" s="3"/>
    </row>
    <row r="709" spans="1:5" ht="19.5" customHeight="1">
      <c r="A709" s="3"/>
      <c r="D709" s="3"/>
      <c r="E709" s="3"/>
    </row>
    <row r="710" spans="1:5" ht="19.5" customHeight="1">
      <c r="A710" s="3"/>
      <c r="D710" s="3"/>
      <c r="E710" s="3"/>
    </row>
    <row r="711" spans="1:5" ht="19.5" customHeight="1">
      <c r="A711" s="3"/>
      <c r="D711" s="3"/>
      <c r="E711" s="3"/>
    </row>
    <row r="712" spans="1:5" ht="19.5" customHeight="1">
      <c r="A712" s="3"/>
      <c r="D712" s="3"/>
      <c r="E712" s="3"/>
    </row>
    <row r="713" spans="1:5" ht="19.5" customHeight="1">
      <c r="A713" s="3"/>
      <c r="D713" s="3"/>
      <c r="E713" s="3"/>
    </row>
    <row r="714" spans="1:5" ht="19.5" customHeight="1">
      <c r="A714" s="3"/>
      <c r="D714" s="3"/>
      <c r="E714" s="3"/>
    </row>
    <row r="715" spans="1:5" ht="19.5" customHeight="1">
      <c r="A715" s="3"/>
      <c r="D715" s="3"/>
      <c r="E715" s="3"/>
    </row>
    <row r="716" spans="1:5" ht="19.5" customHeight="1">
      <c r="A716" s="3"/>
      <c r="D716" s="3"/>
      <c r="E716" s="3"/>
    </row>
    <row r="717" spans="1:5" ht="19.5" customHeight="1">
      <c r="A717" s="3"/>
      <c r="D717" s="3"/>
      <c r="E717" s="3"/>
    </row>
    <row r="718" spans="1:5" ht="19.5" customHeight="1">
      <c r="A718" s="3"/>
      <c r="D718" s="3"/>
      <c r="E718" s="3"/>
    </row>
    <row r="719" spans="1:5" ht="19.5" customHeight="1">
      <c r="A719" s="3"/>
      <c r="D719" s="3"/>
      <c r="E719" s="3"/>
    </row>
    <row r="720" spans="1:5" ht="19.5" customHeight="1">
      <c r="A720" s="3"/>
      <c r="D720" s="3"/>
      <c r="E720" s="3"/>
    </row>
    <row r="721" spans="1:5" ht="19.5" customHeight="1">
      <c r="A721" s="3"/>
      <c r="D721" s="3"/>
      <c r="E721" s="3"/>
    </row>
    <row r="722" spans="1:5" ht="19.5" customHeight="1">
      <c r="A722" s="3"/>
      <c r="D722" s="3"/>
      <c r="E722" s="3"/>
    </row>
    <row r="723" spans="1:5" ht="19.5" customHeight="1">
      <c r="A723" s="3"/>
      <c r="D723" s="3"/>
      <c r="E723" s="3"/>
    </row>
    <row r="724" spans="1:5" ht="19.5" customHeight="1">
      <c r="A724" s="3"/>
      <c r="D724" s="3"/>
      <c r="E724" s="3"/>
    </row>
    <row r="725" spans="1:5" ht="19.5" customHeight="1">
      <c r="A725" s="3"/>
      <c r="D725" s="3"/>
      <c r="E725" s="3"/>
    </row>
    <row r="726" spans="1:5" ht="19.5" customHeight="1">
      <c r="A726" s="3"/>
      <c r="D726" s="3"/>
      <c r="E726" s="3"/>
    </row>
    <row r="727" spans="1:5" ht="19.5" customHeight="1">
      <c r="A727" s="3"/>
      <c r="D727" s="3"/>
      <c r="E727" s="3"/>
    </row>
    <row r="728" spans="1:5" ht="19.5" customHeight="1">
      <c r="A728" s="3"/>
      <c r="D728" s="3"/>
      <c r="E728" s="3"/>
    </row>
    <row r="729" spans="1:5" ht="19.5" customHeight="1">
      <c r="A729" s="3"/>
      <c r="D729" s="3"/>
      <c r="E729" s="3"/>
    </row>
    <row r="730" spans="1:5" ht="19.5" customHeight="1">
      <c r="A730" s="3"/>
      <c r="D730" s="3"/>
      <c r="E730" s="3"/>
    </row>
    <row r="731" spans="1:5" ht="19.5" customHeight="1">
      <c r="A731" s="3"/>
      <c r="D731" s="3"/>
      <c r="E731" s="3"/>
    </row>
    <row r="732" spans="1:5" ht="19.5" customHeight="1">
      <c r="A732" s="3"/>
      <c r="D732" s="3"/>
      <c r="E732" s="3"/>
    </row>
    <row r="733" spans="1:5" ht="19.5" customHeight="1">
      <c r="A733" s="3"/>
      <c r="D733" s="3"/>
      <c r="E733" s="3"/>
    </row>
    <row r="734" spans="1:5" ht="19.5" customHeight="1">
      <c r="A734" s="3"/>
      <c r="D734" s="3"/>
      <c r="E734" s="3"/>
    </row>
    <row r="735" spans="1:5" ht="19.5" customHeight="1">
      <c r="A735" s="3"/>
      <c r="D735" s="3"/>
      <c r="E735" s="3"/>
    </row>
    <row r="736" spans="1:5" ht="19.5" customHeight="1">
      <c r="A736" s="3"/>
      <c r="D736" s="3"/>
      <c r="E736" s="3"/>
    </row>
    <row r="737" spans="1:5" ht="19.5" customHeight="1">
      <c r="A737" s="3"/>
      <c r="D737" s="3"/>
      <c r="E737" s="3"/>
    </row>
    <row r="738" spans="1:5" ht="19.5" customHeight="1">
      <c r="A738" s="3"/>
      <c r="D738" s="3"/>
      <c r="E738" s="3"/>
    </row>
    <row r="739" spans="1:5" ht="19.5" customHeight="1">
      <c r="A739" s="3"/>
      <c r="D739" s="3"/>
      <c r="E739" s="3"/>
    </row>
    <row r="740" spans="1:5" ht="19.5" customHeight="1">
      <c r="A740" s="3"/>
      <c r="D740" s="3"/>
      <c r="E740" s="3"/>
    </row>
    <row r="741" spans="1:5" ht="19.5" customHeight="1">
      <c r="A741" s="3"/>
      <c r="D741" s="3"/>
      <c r="E741" s="3"/>
    </row>
    <row r="742" spans="1:5" ht="19.5" customHeight="1">
      <c r="A742" s="3"/>
      <c r="D742" s="3"/>
      <c r="E742" s="3"/>
    </row>
    <row r="743" spans="1:5" ht="19.5" customHeight="1">
      <c r="A743" s="3"/>
      <c r="D743" s="3"/>
      <c r="E743" s="3"/>
    </row>
    <row r="744" spans="1:5" ht="19.5" customHeight="1">
      <c r="A744" s="3"/>
      <c r="D744" s="3"/>
      <c r="E744" s="3"/>
    </row>
    <row r="745" spans="1:5" ht="19.5" customHeight="1">
      <c r="A745" s="3"/>
      <c r="D745" s="3"/>
      <c r="E745" s="3"/>
    </row>
    <row r="746" spans="1:5" ht="19.5" customHeight="1">
      <c r="A746" s="3"/>
      <c r="D746" s="3"/>
      <c r="E746" s="3"/>
    </row>
    <row r="747" spans="1:5" ht="19.5" customHeight="1">
      <c r="A747" s="3"/>
      <c r="D747" s="3"/>
      <c r="E747" s="3"/>
    </row>
    <row r="748" spans="1:5" ht="19.5" customHeight="1">
      <c r="A748" s="3"/>
      <c r="D748" s="3"/>
      <c r="E748" s="3"/>
    </row>
    <row r="749" spans="1:5" ht="19.5" customHeight="1">
      <c r="A749" s="3"/>
      <c r="D749" s="3"/>
      <c r="E749" s="3"/>
    </row>
    <row r="750" spans="1:5" ht="19.5" customHeight="1">
      <c r="A750" s="3"/>
      <c r="D750" s="3"/>
      <c r="E750" s="3"/>
    </row>
    <row r="751" spans="1:5" ht="19.5" customHeight="1">
      <c r="A751" s="3"/>
      <c r="D751" s="3"/>
      <c r="E751" s="3"/>
    </row>
    <row r="752" spans="1:5" ht="19.5" customHeight="1">
      <c r="A752" s="3"/>
      <c r="D752" s="3"/>
      <c r="E752" s="3"/>
    </row>
    <row r="753" spans="1:5" ht="19.5" customHeight="1">
      <c r="A753" s="3"/>
      <c r="D753" s="3"/>
      <c r="E753" s="3"/>
    </row>
    <row r="754" spans="1:5" ht="19.5" customHeight="1">
      <c r="A754" s="3"/>
      <c r="D754" s="3"/>
      <c r="E754" s="3"/>
    </row>
    <row r="755" spans="1:5" ht="19.5" customHeight="1">
      <c r="A755" s="3"/>
      <c r="D755" s="3"/>
      <c r="E755" s="3"/>
    </row>
    <row r="756" spans="1:5" ht="19.5" customHeight="1">
      <c r="A756" s="3"/>
      <c r="D756" s="3"/>
      <c r="E756" s="3"/>
    </row>
    <row r="757" spans="1:5" ht="19.5" customHeight="1">
      <c r="A757" s="3"/>
      <c r="D757" s="3"/>
      <c r="E757" s="3"/>
    </row>
    <row r="758" spans="1:5" ht="19.5" customHeight="1">
      <c r="A758" s="3"/>
      <c r="D758" s="3"/>
      <c r="E758" s="3"/>
    </row>
    <row r="759" spans="1:5" ht="19.5" customHeight="1">
      <c r="A759" s="3"/>
      <c r="D759" s="3"/>
      <c r="E759" s="3"/>
    </row>
    <row r="760" spans="1:5" ht="19.5" customHeight="1">
      <c r="A760" s="3"/>
      <c r="D760" s="3"/>
      <c r="E760" s="3"/>
    </row>
    <row r="761" spans="1:5" ht="19.5" customHeight="1">
      <c r="A761" s="3"/>
      <c r="D761" s="3"/>
      <c r="E761" s="3"/>
    </row>
    <row r="762" spans="1:5" ht="19.5" customHeight="1">
      <c r="A762" s="3"/>
      <c r="D762" s="3"/>
      <c r="E762" s="3"/>
    </row>
    <row r="763" spans="1:5" ht="19.5" customHeight="1">
      <c r="A763" s="3"/>
      <c r="D763" s="3"/>
      <c r="E763" s="3"/>
    </row>
    <row r="764" spans="1:5" ht="19.5" customHeight="1">
      <c r="A764" s="3"/>
      <c r="D764" s="3"/>
      <c r="E764" s="3"/>
    </row>
    <row r="765" spans="1:5" ht="19.5" customHeight="1">
      <c r="A765" s="3"/>
      <c r="D765" s="3"/>
      <c r="E765" s="3"/>
    </row>
    <row r="766" spans="1:5" ht="19.5" customHeight="1">
      <c r="A766" s="3"/>
      <c r="D766" s="3"/>
      <c r="E766" s="3"/>
    </row>
    <row r="767" spans="1:5" ht="19.5" customHeight="1">
      <c r="A767" s="3"/>
      <c r="D767" s="3"/>
      <c r="E767" s="3"/>
    </row>
    <row r="768" spans="1:5" ht="19.5" customHeight="1">
      <c r="A768" s="3"/>
      <c r="D768" s="3"/>
      <c r="E768" s="3"/>
    </row>
    <row r="769" spans="1:5" ht="19.5" customHeight="1">
      <c r="A769" s="3"/>
      <c r="D769" s="3"/>
      <c r="E769" s="3"/>
    </row>
    <row r="770" spans="1:5" ht="19.5" customHeight="1">
      <c r="A770" s="3"/>
      <c r="D770" s="3"/>
      <c r="E770" s="3"/>
    </row>
    <row r="771" spans="1:5" ht="19.5" customHeight="1">
      <c r="A771" s="3"/>
      <c r="D771" s="3"/>
      <c r="E771" s="3"/>
    </row>
    <row r="772" spans="1:5" ht="19.5" customHeight="1">
      <c r="A772" s="3"/>
      <c r="D772" s="3"/>
      <c r="E772" s="3"/>
    </row>
    <row r="773" spans="1:5" ht="19.5" customHeight="1">
      <c r="A773" s="3"/>
      <c r="D773" s="3"/>
      <c r="E773" s="3"/>
    </row>
    <row r="774" spans="1:5" ht="19.5" customHeight="1">
      <c r="A774" s="3"/>
      <c r="D774" s="3"/>
      <c r="E774" s="3"/>
    </row>
    <row r="775" spans="1:5" ht="19.5" customHeight="1">
      <c r="A775" s="3"/>
      <c r="D775" s="3"/>
      <c r="E775" s="3"/>
    </row>
    <row r="776" spans="1:5" ht="19.5" customHeight="1">
      <c r="A776" s="3"/>
      <c r="D776" s="3"/>
      <c r="E776" s="3"/>
    </row>
    <row r="777" spans="1:5" ht="19.5" customHeight="1">
      <c r="A777" s="3"/>
      <c r="D777" s="3"/>
      <c r="E777" s="3"/>
    </row>
    <row r="778" spans="1:5" ht="19.5" customHeight="1">
      <c r="A778" s="3"/>
      <c r="D778" s="3"/>
      <c r="E778" s="3"/>
    </row>
    <row r="779" spans="1:5" ht="19.5" customHeight="1">
      <c r="A779" s="3"/>
      <c r="D779" s="3"/>
      <c r="E779" s="3"/>
    </row>
    <row r="780" spans="1:5" ht="19.5" customHeight="1">
      <c r="A780" s="3"/>
      <c r="D780" s="3"/>
      <c r="E780" s="3"/>
    </row>
    <row r="781" spans="1:5" ht="19.5" customHeight="1">
      <c r="A781" s="3"/>
      <c r="D781" s="3"/>
      <c r="E781" s="3"/>
    </row>
    <row r="782" spans="1:5" ht="19.5" customHeight="1">
      <c r="A782" s="3"/>
      <c r="D782" s="3"/>
      <c r="E782" s="3"/>
    </row>
    <row r="783" spans="1:5" ht="19.5" customHeight="1">
      <c r="A783" s="3"/>
      <c r="D783" s="3"/>
      <c r="E783" s="3"/>
    </row>
    <row r="784" spans="1:5" ht="19.5" customHeight="1">
      <c r="A784" s="3"/>
      <c r="D784" s="3"/>
      <c r="E784" s="3"/>
    </row>
    <row r="785" spans="1:5" ht="19.5" customHeight="1">
      <c r="A785" s="3"/>
      <c r="D785" s="3"/>
      <c r="E785" s="3"/>
    </row>
    <row r="786" spans="1:5" ht="19.5" customHeight="1">
      <c r="A786" s="3"/>
      <c r="D786" s="3"/>
      <c r="E786" s="3"/>
    </row>
    <row r="787" spans="1:5" ht="19.5" customHeight="1">
      <c r="A787" s="3"/>
      <c r="D787" s="3"/>
      <c r="E787" s="3"/>
    </row>
    <row r="788" spans="1:5" ht="19.5" customHeight="1">
      <c r="A788" s="3"/>
      <c r="D788" s="3"/>
      <c r="E788" s="3"/>
    </row>
    <row r="789" spans="1:5" ht="19.5" customHeight="1">
      <c r="A789" s="3"/>
      <c r="D789" s="3"/>
      <c r="E789" s="3"/>
    </row>
    <row r="790" spans="1:5" ht="19.5" customHeight="1">
      <c r="A790" s="3"/>
      <c r="D790" s="3"/>
      <c r="E790" s="3"/>
    </row>
    <row r="791" spans="1:5" ht="19.5" customHeight="1">
      <c r="A791" s="3"/>
      <c r="D791" s="3"/>
      <c r="E791" s="3"/>
    </row>
    <row r="792" spans="1:5" ht="19.5" customHeight="1">
      <c r="A792" s="3"/>
      <c r="D792" s="3"/>
      <c r="E792" s="3"/>
    </row>
    <row r="793" spans="1:5" ht="19.5" customHeight="1">
      <c r="A793" s="3"/>
      <c r="D793" s="3"/>
      <c r="E793" s="3"/>
    </row>
    <row r="794" spans="1:5" ht="19.5" customHeight="1">
      <c r="A794" s="3"/>
      <c r="D794" s="3"/>
      <c r="E794" s="3"/>
    </row>
    <row r="795" spans="1:5" ht="19.5" customHeight="1">
      <c r="A795" s="3"/>
      <c r="D795" s="3"/>
      <c r="E795" s="3"/>
    </row>
    <row r="796" spans="1:5" ht="19.5" customHeight="1">
      <c r="A796" s="3"/>
      <c r="D796" s="3"/>
      <c r="E796" s="3"/>
    </row>
    <row r="797" spans="1:5" ht="19.5" customHeight="1">
      <c r="A797" s="3"/>
      <c r="D797" s="3"/>
      <c r="E797" s="3"/>
    </row>
    <row r="798" spans="1:5" ht="19.5" customHeight="1">
      <c r="A798" s="3"/>
      <c r="D798" s="3"/>
      <c r="E798" s="3"/>
    </row>
    <row r="799" spans="1:5" ht="19.5" customHeight="1">
      <c r="A799" s="3"/>
      <c r="D799" s="3"/>
      <c r="E799" s="3"/>
    </row>
    <row r="800" spans="1:5" ht="19.5" customHeight="1">
      <c r="A800" s="3"/>
      <c r="D800" s="3"/>
      <c r="E800" s="3"/>
    </row>
    <row r="801" spans="1:5" ht="19.5" customHeight="1">
      <c r="A801" s="3"/>
      <c r="D801" s="3"/>
      <c r="E801" s="3"/>
    </row>
    <row r="802" spans="1:5" ht="19.5" customHeight="1">
      <c r="A802" s="3"/>
      <c r="D802" s="3"/>
      <c r="E802" s="3"/>
    </row>
    <row r="803" spans="1:5" ht="19.5" customHeight="1">
      <c r="A803" s="3"/>
      <c r="D803" s="3"/>
      <c r="E803" s="3"/>
    </row>
    <row r="804" spans="1:5" ht="19.5" customHeight="1">
      <c r="A804" s="3"/>
      <c r="D804" s="3"/>
      <c r="E804" s="3"/>
    </row>
    <row r="805" spans="1:5" ht="19.5" customHeight="1">
      <c r="A805" s="3"/>
      <c r="D805" s="3"/>
      <c r="E805" s="3"/>
    </row>
    <row r="806" spans="1:5" ht="19.5" customHeight="1">
      <c r="A806" s="3"/>
      <c r="D806" s="3"/>
      <c r="E806" s="3"/>
    </row>
    <row r="807" spans="1:5" ht="19.5" customHeight="1">
      <c r="A807" s="3"/>
      <c r="D807" s="3"/>
      <c r="E807" s="3"/>
    </row>
    <row r="808" spans="1:5" ht="19.5" customHeight="1">
      <c r="A808" s="3"/>
      <c r="D808" s="3"/>
      <c r="E808" s="3"/>
    </row>
    <row r="809" spans="1:5" ht="19.5" customHeight="1">
      <c r="A809" s="3"/>
      <c r="D809" s="3"/>
      <c r="E809" s="3"/>
    </row>
    <row r="810" spans="1:5" ht="19.5" customHeight="1">
      <c r="A810" s="6"/>
      <c r="B810" s="6"/>
      <c r="E810" s="8"/>
    </row>
    <row r="811" spans="1:5" ht="19.5" customHeight="1">
      <c r="A811" s="6"/>
      <c r="B811" s="6"/>
      <c r="E811" s="8"/>
    </row>
    <row r="812" spans="1:5" ht="19.5" customHeight="1">
      <c r="A812" s="6"/>
      <c r="B812" s="6"/>
      <c r="E812" s="8"/>
    </row>
    <row r="813" spans="1:5" ht="19.5" customHeight="1">
      <c r="A813" s="6"/>
      <c r="B813" s="6"/>
      <c r="E813" s="8"/>
    </row>
    <row r="814" spans="1:5" ht="19.5" customHeight="1">
      <c r="A814" s="6"/>
      <c r="B814" s="6"/>
      <c r="E814" s="8"/>
    </row>
  </sheetData>
  <mergeCells count="35">
    <mergeCell ref="A147:E147"/>
    <mergeCell ref="A148:E148"/>
    <mergeCell ref="A154:C154"/>
    <mergeCell ref="A127:C127"/>
    <mergeCell ref="A128:C128"/>
    <mergeCell ref="A124:E124"/>
    <mergeCell ref="A125:E125"/>
    <mergeCell ref="A98:E98"/>
    <mergeCell ref="A104:E104"/>
    <mergeCell ref="A105:E105"/>
    <mergeCell ref="A99:E99"/>
    <mergeCell ref="A101:C101"/>
    <mergeCell ref="A110:E110"/>
    <mergeCell ref="A111:E111"/>
    <mergeCell ref="A117:C117"/>
    <mergeCell ref="A107:C107"/>
    <mergeCell ref="A109:C109"/>
    <mergeCell ref="A83:E83"/>
    <mergeCell ref="A84:E84"/>
    <mergeCell ref="A89:C89"/>
    <mergeCell ref="A92:E92"/>
    <mergeCell ref="C1:E1"/>
    <mergeCell ref="A2:E2"/>
    <mergeCell ref="A3:E3"/>
    <mergeCell ref="A78:E78"/>
    <mergeCell ref="A146:C146"/>
    <mergeCell ref="A82:E82"/>
    <mergeCell ref="A4:B4"/>
    <mergeCell ref="C4:C6"/>
    <mergeCell ref="A77:E77"/>
    <mergeCell ref="A76:E76"/>
    <mergeCell ref="A80:E80"/>
    <mergeCell ref="A81:E81"/>
    <mergeCell ref="A93:E93"/>
    <mergeCell ref="A95:C95"/>
  </mergeCells>
  <printOptions/>
  <pageMargins left="0.24" right="0.24" top="0.35433070866141736" bottom="0.11811023622047245" header="0.11811023622047245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workbookViewId="0" topLeftCell="A1">
      <selection activeCell="G62" sqref="G62"/>
    </sheetView>
  </sheetViews>
  <sheetFormatPr defaultColWidth="9.140625" defaultRowHeight="12.75"/>
  <cols>
    <col min="1" max="1" width="49.140625" style="1" customWidth="1"/>
    <col min="2" max="2" width="11.00390625" style="2" customWidth="1"/>
    <col min="3" max="3" width="13.8515625" style="5" customWidth="1"/>
    <col min="4" max="4" width="13.28125" style="5" customWidth="1"/>
    <col min="5" max="5" width="13.8515625" style="5" customWidth="1"/>
    <col min="6" max="16384" width="9.140625" style="1" customWidth="1"/>
  </cols>
  <sheetData>
    <row r="1" spans="1:5" ht="21">
      <c r="A1" s="322"/>
      <c r="B1" s="322"/>
      <c r="C1" s="322"/>
      <c r="D1" s="322"/>
      <c r="E1" s="322"/>
    </row>
    <row r="2" spans="1:5" ht="21">
      <c r="A2" s="322" t="s">
        <v>349</v>
      </c>
      <c r="B2" s="322"/>
      <c r="C2" s="322"/>
      <c r="D2" s="322"/>
      <c r="E2" s="322"/>
    </row>
    <row r="3" spans="1:5" ht="21">
      <c r="A3" s="323" t="s">
        <v>128</v>
      </c>
      <c r="B3" s="323"/>
      <c r="C3" s="323"/>
      <c r="D3" s="323"/>
      <c r="E3" s="323"/>
    </row>
    <row r="4" spans="1:5" ht="21">
      <c r="A4" s="319" t="s">
        <v>29</v>
      </c>
      <c r="B4" s="320"/>
      <c r="C4" s="320"/>
      <c r="D4" s="320"/>
      <c r="E4" s="321"/>
    </row>
    <row r="5" spans="1:5" ht="21">
      <c r="A5" s="69" t="s">
        <v>44</v>
      </c>
      <c r="B5" s="69" t="s">
        <v>20</v>
      </c>
      <c r="C5" s="69" t="s">
        <v>42</v>
      </c>
      <c r="D5" s="69" t="s">
        <v>57</v>
      </c>
      <c r="E5" s="69" t="s">
        <v>58</v>
      </c>
    </row>
    <row r="6" spans="1:5" ht="21">
      <c r="A6" s="70" t="s">
        <v>59</v>
      </c>
      <c r="B6" s="71"/>
      <c r="C6" s="72"/>
      <c r="D6" s="72"/>
      <c r="E6" s="72"/>
    </row>
    <row r="7" spans="1:5" ht="21">
      <c r="A7" s="73" t="s">
        <v>60</v>
      </c>
      <c r="B7" s="122">
        <v>411000</v>
      </c>
      <c r="C7" s="75"/>
      <c r="D7" s="75"/>
      <c r="E7" s="75"/>
    </row>
    <row r="8" spans="1:5" ht="21">
      <c r="A8" s="76" t="s">
        <v>61</v>
      </c>
      <c r="B8" s="74">
        <v>411001</v>
      </c>
      <c r="C8" s="75">
        <v>62800</v>
      </c>
      <c r="D8" s="75">
        <v>578</v>
      </c>
      <c r="E8" s="75">
        <f>D8</f>
        <v>578</v>
      </c>
    </row>
    <row r="9" spans="1:5" ht="21">
      <c r="A9" s="76" t="s">
        <v>62</v>
      </c>
      <c r="B9" s="74">
        <v>411002</v>
      </c>
      <c r="C9" s="75">
        <v>113600</v>
      </c>
      <c r="D9" s="75">
        <v>49.84</v>
      </c>
      <c r="E9" s="75">
        <f>SUM(D9+97.9)</f>
        <v>147.74</v>
      </c>
    </row>
    <row r="10" spans="1:5" ht="21">
      <c r="A10" s="76" t="s">
        <v>78</v>
      </c>
      <c r="B10" s="74">
        <v>411003</v>
      </c>
      <c r="C10" s="75">
        <v>9300</v>
      </c>
      <c r="D10" s="75">
        <v>0</v>
      </c>
      <c r="E10" s="75">
        <v>0</v>
      </c>
    </row>
    <row r="11" spans="1:5" ht="21.75" thickBot="1">
      <c r="A11" s="77" t="s">
        <v>39</v>
      </c>
      <c r="B11" s="78"/>
      <c r="C11" s="79">
        <f>SUM(C8:C10)</f>
        <v>185700</v>
      </c>
      <c r="D11" s="79">
        <f>SUM(D8:D10)</f>
        <v>627.84</v>
      </c>
      <c r="E11" s="79">
        <f>SUM(E8:E10)</f>
        <v>725.74</v>
      </c>
    </row>
    <row r="12" spans="1:5" ht="21.75" thickTop="1">
      <c r="A12" s="80" t="s">
        <v>63</v>
      </c>
      <c r="B12" s="114">
        <v>412000</v>
      </c>
      <c r="C12" s="75"/>
      <c r="D12" s="75"/>
      <c r="E12" s="75"/>
    </row>
    <row r="13" spans="1:5" ht="21">
      <c r="A13" s="76" t="s">
        <v>64</v>
      </c>
      <c r="B13" s="74">
        <v>412106</v>
      </c>
      <c r="C13" s="75">
        <v>300</v>
      </c>
      <c r="D13" s="75">
        <v>280</v>
      </c>
      <c r="E13" s="75">
        <f>SUM(D13+60)</f>
        <v>340</v>
      </c>
    </row>
    <row r="14" spans="1:5" ht="21">
      <c r="A14" s="76" t="s">
        <v>153</v>
      </c>
      <c r="B14" s="74">
        <v>412111</v>
      </c>
      <c r="C14" s="75">
        <v>100</v>
      </c>
      <c r="D14" s="75">
        <v>0</v>
      </c>
      <c r="E14" s="75">
        <v>10</v>
      </c>
    </row>
    <row r="15" spans="1:5" ht="21">
      <c r="A15" s="76" t="s">
        <v>154</v>
      </c>
      <c r="B15" s="74">
        <v>412128</v>
      </c>
      <c r="C15" s="75">
        <v>100</v>
      </c>
      <c r="D15" s="75">
        <v>30</v>
      </c>
      <c r="E15" s="75">
        <f>D15+120</f>
        <v>150</v>
      </c>
    </row>
    <row r="16" spans="1:5" ht="21">
      <c r="A16" s="76" t="s">
        <v>155</v>
      </c>
      <c r="B16" s="74">
        <v>412199</v>
      </c>
      <c r="C16" s="75">
        <v>0</v>
      </c>
      <c r="D16" s="75">
        <v>0</v>
      </c>
      <c r="E16" s="75">
        <v>0</v>
      </c>
    </row>
    <row r="17" spans="1:5" ht="21">
      <c r="A17" s="81" t="s">
        <v>156</v>
      </c>
      <c r="B17" s="74">
        <v>412202</v>
      </c>
      <c r="C17" s="75">
        <v>100</v>
      </c>
      <c r="D17" s="75">
        <v>0</v>
      </c>
      <c r="E17" s="75">
        <v>0</v>
      </c>
    </row>
    <row r="18" spans="1:5" ht="21">
      <c r="A18" s="76" t="s">
        <v>157</v>
      </c>
      <c r="B18" s="74">
        <v>412209</v>
      </c>
      <c r="C18" s="75">
        <v>200</v>
      </c>
      <c r="D18" s="75">
        <v>0</v>
      </c>
      <c r="E18" s="75">
        <v>0</v>
      </c>
    </row>
    <row r="19" spans="1:5" ht="21">
      <c r="A19" s="76" t="s">
        <v>158</v>
      </c>
      <c r="B19" s="74">
        <v>412210</v>
      </c>
      <c r="C19" s="75">
        <v>10600</v>
      </c>
      <c r="D19" s="75">
        <v>0</v>
      </c>
      <c r="E19" s="75">
        <v>0</v>
      </c>
    </row>
    <row r="20" spans="1:5" ht="21">
      <c r="A20" s="76" t="s">
        <v>159</v>
      </c>
      <c r="B20" s="74">
        <v>412301</v>
      </c>
      <c r="C20" s="75">
        <v>1000</v>
      </c>
      <c r="D20" s="75">
        <v>0</v>
      </c>
      <c r="E20" s="75">
        <v>0</v>
      </c>
    </row>
    <row r="21" spans="1:5" ht="21">
      <c r="A21" s="76" t="s">
        <v>160</v>
      </c>
      <c r="B21" s="74">
        <v>412303</v>
      </c>
      <c r="C21" s="75">
        <v>55400</v>
      </c>
      <c r="D21" s="75">
        <v>120</v>
      </c>
      <c r="E21" s="75">
        <f>SUM(D21)</f>
        <v>120</v>
      </c>
    </row>
    <row r="22" spans="1:5" ht="21">
      <c r="A22" s="76" t="s">
        <v>161</v>
      </c>
      <c r="B22" s="74">
        <v>412305</v>
      </c>
      <c r="C22" s="75">
        <v>19200</v>
      </c>
      <c r="D22" s="75">
        <v>960</v>
      </c>
      <c r="E22" s="75">
        <f>SUM(D22+2020)</f>
        <v>2980</v>
      </c>
    </row>
    <row r="23" spans="1:5" ht="21">
      <c r="A23" s="76" t="s">
        <v>162</v>
      </c>
      <c r="B23" s="74">
        <v>412307</v>
      </c>
      <c r="C23" s="75">
        <v>29700</v>
      </c>
      <c r="D23" s="75">
        <v>-55</v>
      </c>
      <c r="E23" s="75">
        <f>D23+175</f>
        <v>120</v>
      </c>
    </row>
    <row r="24" spans="1:5" ht="21.75" thickBot="1">
      <c r="A24" s="77" t="s">
        <v>39</v>
      </c>
      <c r="B24" s="82"/>
      <c r="C24" s="79">
        <f>SUM(C13:C23)</f>
        <v>116700</v>
      </c>
      <c r="D24" s="79">
        <f>SUM(D13:D23)</f>
        <v>1335</v>
      </c>
      <c r="E24" s="79">
        <f>SUM(E13:E23)</f>
        <v>3720</v>
      </c>
    </row>
    <row r="25" spans="1:5" ht="21.75" thickTop="1">
      <c r="A25" s="83" t="s">
        <v>65</v>
      </c>
      <c r="B25" s="77">
        <v>413000</v>
      </c>
      <c r="C25" s="75"/>
      <c r="D25" s="75"/>
      <c r="E25" s="75"/>
    </row>
    <row r="26" spans="1:5" ht="21">
      <c r="A26" s="76" t="s">
        <v>66</v>
      </c>
      <c r="B26" s="74">
        <v>413003</v>
      </c>
      <c r="C26" s="75">
        <v>162000</v>
      </c>
      <c r="D26" s="75">
        <v>8404.11</v>
      </c>
      <c r="E26" s="75">
        <f>SUM(D26+2965.21)</f>
        <v>11369.32</v>
      </c>
    </row>
    <row r="27" spans="1:5" ht="21.75" thickBot="1">
      <c r="A27" s="77" t="s">
        <v>39</v>
      </c>
      <c r="B27" s="82"/>
      <c r="C27" s="79">
        <f>SUM(C26)</f>
        <v>162000</v>
      </c>
      <c r="D27" s="79">
        <f>SUM(D26)</f>
        <v>8404.11</v>
      </c>
      <c r="E27" s="79">
        <f>SUM(E26)</f>
        <v>11369.32</v>
      </c>
    </row>
    <row r="28" spans="1:5" ht="21.75" thickTop="1">
      <c r="A28" s="83" t="s">
        <v>67</v>
      </c>
      <c r="B28" s="77">
        <v>415000</v>
      </c>
      <c r="C28" s="75"/>
      <c r="D28" s="75"/>
      <c r="E28" s="75"/>
    </row>
    <row r="29" spans="1:5" ht="21">
      <c r="A29" s="76" t="s">
        <v>68</v>
      </c>
      <c r="B29" s="74">
        <v>415004</v>
      </c>
      <c r="C29" s="75">
        <v>130000</v>
      </c>
      <c r="D29" s="84">
        <v>0</v>
      </c>
      <c r="E29" s="75">
        <v>0</v>
      </c>
    </row>
    <row r="30" spans="1:5" ht="21">
      <c r="A30" s="76" t="s">
        <v>163</v>
      </c>
      <c r="B30" s="74">
        <v>415007</v>
      </c>
      <c r="C30" s="75">
        <v>100</v>
      </c>
      <c r="D30" s="75">
        <v>120</v>
      </c>
      <c r="E30" s="75">
        <f>SUM(D30+300)</f>
        <v>420</v>
      </c>
    </row>
    <row r="31" spans="1:5" ht="21">
      <c r="A31" s="76" t="s">
        <v>164</v>
      </c>
      <c r="B31" s="74">
        <v>415999</v>
      </c>
      <c r="C31" s="75">
        <v>2200</v>
      </c>
      <c r="D31" s="75">
        <v>300</v>
      </c>
      <c r="E31" s="75">
        <f>SUM(D31+100)</f>
        <v>400</v>
      </c>
    </row>
    <row r="32" spans="1:5" ht="21.75" thickBot="1">
      <c r="A32" s="77" t="s">
        <v>39</v>
      </c>
      <c r="B32" s="82"/>
      <c r="C32" s="79">
        <f>SUM(C29:C31)</f>
        <v>132300</v>
      </c>
      <c r="D32" s="79">
        <f>SUM(D30:D31)</f>
        <v>420</v>
      </c>
      <c r="E32" s="79">
        <f>SUM(E30:E31)</f>
        <v>820</v>
      </c>
    </row>
    <row r="33" spans="1:5" ht="21.75" thickTop="1">
      <c r="A33" s="73" t="s">
        <v>144</v>
      </c>
      <c r="B33" s="122">
        <v>416000</v>
      </c>
      <c r="C33" s="75"/>
      <c r="D33" s="75"/>
      <c r="E33" s="75"/>
    </row>
    <row r="34" spans="1:5" ht="21">
      <c r="A34" s="76" t="s">
        <v>165</v>
      </c>
      <c r="B34" s="74">
        <v>416001</v>
      </c>
      <c r="C34" s="75">
        <v>1200</v>
      </c>
      <c r="D34" s="75">
        <v>0</v>
      </c>
      <c r="E34" s="75">
        <v>0</v>
      </c>
    </row>
    <row r="35" spans="1:5" ht="21.75" thickBot="1">
      <c r="A35" s="77" t="s">
        <v>39</v>
      </c>
      <c r="B35" s="82"/>
      <c r="C35" s="79">
        <f>SUM(C34)</f>
        <v>1200</v>
      </c>
      <c r="D35" s="79"/>
      <c r="E35" s="79"/>
    </row>
    <row r="36" spans="1:5" ht="21.75" thickTop="1">
      <c r="A36" s="318" t="s">
        <v>75</v>
      </c>
      <c r="B36" s="318"/>
      <c r="C36" s="318"/>
      <c r="D36" s="318"/>
      <c r="E36" s="318"/>
    </row>
    <row r="37" spans="1:5" ht="21">
      <c r="A37" s="319" t="s">
        <v>29</v>
      </c>
      <c r="B37" s="320"/>
      <c r="C37" s="320"/>
      <c r="D37" s="320"/>
      <c r="E37" s="321"/>
    </row>
    <row r="38" spans="1:5" ht="21">
      <c r="A38" s="69" t="s">
        <v>44</v>
      </c>
      <c r="B38" s="69" t="s">
        <v>20</v>
      </c>
      <c r="C38" s="69" t="s">
        <v>42</v>
      </c>
      <c r="D38" s="69" t="s">
        <v>57</v>
      </c>
      <c r="E38" s="69" t="s">
        <v>58</v>
      </c>
    </row>
    <row r="39" spans="1:5" ht="21">
      <c r="A39" s="85" t="s">
        <v>166</v>
      </c>
      <c r="B39" s="82"/>
      <c r="C39" s="86"/>
      <c r="D39" s="86"/>
      <c r="E39" s="86"/>
    </row>
    <row r="40" spans="1:5" ht="21">
      <c r="A40" s="73" t="s">
        <v>69</v>
      </c>
      <c r="B40" s="77">
        <v>421000</v>
      </c>
      <c r="C40" s="75"/>
      <c r="D40" s="75"/>
      <c r="E40" s="75"/>
    </row>
    <row r="41" spans="1:5" ht="21">
      <c r="A41" s="76" t="s">
        <v>167</v>
      </c>
      <c r="B41" s="74">
        <v>421002</v>
      </c>
      <c r="C41" s="75">
        <v>4940000</v>
      </c>
      <c r="D41" s="75">
        <v>1131389.92</v>
      </c>
      <c r="E41" s="75">
        <f>D41</f>
        <v>1131389.92</v>
      </c>
    </row>
    <row r="42" spans="1:5" ht="21">
      <c r="A42" s="76" t="s">
        <v>168</v>
      </c>
      <c r="B42" s="74">
        <v>421004</v>
      </c>
      <c r="C42" s="75">
        <v>1843000</v>
      </c>
      <c r="D42" s="75">
        <v>267952.02</v>
      </c>
      <c r="E42" s="75">
        <f>SUM(D42+168169.65)</f>
        <v>436121.67000000004</v>
      </c>
    </row>
    <row r="43" spans="1:5" ht="21">
      <c r="A43" s="76" t="s">
        <v>71</v>
      </c>
      <c r="B43" s="74">
        <v>421005</v>
      </c>
      <c r="C43" s="75">
        <v>71000</v>
      </c>
      <c r="D43" s="75">
        <v>24383.94</v>
      </c>
      <c r="E43" s="75">
        <f>D43</f>
        <v>24383.94</v>
      </c>
    </row>
    <row r="44" spans="1:5" ht="21">
      <c r="A44" s="76" t="s">
        <v>72</v>
      </c>
      <c r="B44" s="74">
        <v>421006</v>
      </c>
      <c r="C44" s="75">
        <v>900200</v>
      </c>
      <c r="D44" s="75">
        <v>95027.42</v>
      </c>
      <c r="E44" s="75">
        <f>D44+76477.29</f>
        <v>171504.71</v>
      </c>
    </row>
    <row r="45" spans="1:5" ht="21">
      <c r="A45" s="76" t="s">
        <v>73</v>
      </c>
      <c r="B45" s="74">
        <v>421007</v>
      </c>
      <c r="C45" s="75">
        <v>1505000</v>
      </c>
      <c r="D45" s="75">
        <v>209720.76</v>
      </c>
      <c r="E45" s="75">
        <f>D45+197092.1</f>
        <v>406812.86</v>
      </c>
    </row>
    <row r="46" spans="1:5" ht="21">
      <c r="A46" s="76" t="s">
        <v>169</v>
      </c>
      <c r="B46" s="74">
        <v>421012</v>
      </c>
      <c r="C46" s="75">
        <v>35000</v>
      </c>
      <c r="D46" s="75">
        <v>0</v>
      </c>
      <c r="E46" s="75">
        <v>0</v>
      </c>
    </row>
    <row r="47" spans="1:5" ht="21">
      <c r="A47" s="76" t="s">
        <v>170</v>
      </c>
      <c r="B47" s="74">
        <v>421013</v>
      </c>
      <c r="C47" s="75">
        <v>61000</v>
      </c>
      <c r="D47" s="75">
        <v>25913.68</v>
      </c>
      <c r="E47" s="75">
        <f>D47</f>
        <v>25913.68</v>
      </c>
    </row>
    <row r="48" spans="1:5" ht="21">
      <c r="A48" s="76" t="s">
        <v>171</v>
      </c>
      <c r="B48" s="74">
        <v>421015</v>
      </c>
      <c r="C48" s="75">
        <v>170500</v>
      </c>
      <c r="D48" s="75">
        <v>26430</v>
      </c>
      <c r="E48" s="75">
        <f>D48</f>
        <v>26430</v>
      </c>
    </row>
    <row r="49" spans="1:5" ht="21">
      <c r="A49" s="76" t="s">
        <v>172</v>
      </c>
      <c r="B49" s="74"/>
      <c r="C49" s="75"/>
      <c r="D49" s="75"/>
      <c r="E49" s="75"/>
    </row>
    <row r="50" spans="1:5" ht="21.75" thickBot="1">
      <c r="A50" s="77" t="s">
        <v>39</v>
      </c>
      <c r="B50" s="74"/>
      <c r="C50" s="79">
        <f>SUM(C41:C49)</f>
        <v>9525700</v>
      </c>
      <c r="D50" s="79">
        <f>SUM(D41:D48)</f>
        <v>1780817.7399999998</v>
      </c>
      <c r="E50" s="79">
        <f>SUM(E41:E48)</f>
        <v>2222556.78</v>
      </c>
    </row>
    <row r="51" spans="1:5" ht="21.75" thickTop="1">
      <c r="A51" s="89" t="s">
        <v>173</v>
      </c>
      <c r="B51" s="74"/>
      <c r="C51" s="84"/>
      <c r="D51" s="84"/>
      <c r="E51" s="84"/>
    </row>
    <row r="52" spans="1:5" ht="21">
      <c r="A52" s="73" t="s">
        <v>70</v>
      </c>
      <c r="B52" s="122">
        <v>430000</v>
      </c>
      <c r="C52" s="75"/>
      <c r="D52" s="75"/>
      <c r="E52" s="75"/>
    </row>
    <row r="53" spans="1:5" ht="21">
      <c r="A53" s="76" t="s">
        <v>174</v>
      </c>
      <c r="B53" s="74">
        <v>431002</v>
      </c>
      <c r="C53" s="75">
        <v>7720800</v>
      </c>
      <c r="D53" s="75">
        <v>0</v>
      </c>
      <c r="E53" s="75">
        <v>0</v>
      </c>
    </row>
    <row r="54" spans="1:5" ht="21">
      <c r="A54" s="76" t="s">
        <v>175</v>
      </c>
      <c r="B54" s="74"/>
      <c r="C54" s="75"/>
      <c r="D54" s="75"/>
      <c r="E54" s="75"/>
    </row>
    <row r="55" spans="1:5" ht="21">
      <c r="A55" s="76" t="s">
        <v>343</v>
      </c>
      <c r="B55" s="74"/>
      <c r="C55" s="75"/>
      <c r="D55" s="75">
        <v>450900</v>
      </c>
      <c r="E55" s="75">
        <f aca="true" t="shared" si="0" ref="E55:E60">D55</f>
        <v>450900</v>
      </c>
    </row>
    <row r="56" spans="1:5" ht="21">
      <c r="A56" s="76" t="s">
        <v>344</v>
      </c>
      <c r="B56" s="74"/>
      <c r="C56" s="75"/>
      <c r="D56" s="75">
        <v>120000</v>
      </c>
      <c r="E56" s="75">
        <f t="shared" si="0"/>
        <v>120000</v>
      </c>
    </row>
    <row r="57" spans="1:5" ht="21">
      <c r="A57" s="76" t="s">
        <v>345</v>
      </c>
      <c r="B57" s="74"/>
      <c r="C57" s="75"/>
      <c r="D57" s="75">
        <v>18000</v>
      </c>
      <c r="E57" s="75">
        <f t="shared" si="0"/>
        <v>18000</v>
      </c>
    </row>
    <row r="58" spans="1:5" ht="21">
      <c r="A58" s="76" t="s">
        <v>348</v>
      </c>
      <c r="B58" s="74"/>
      <c r="C58" s="75"/>
      <c r="D58" s="75">
        <v>1125225</v>
      </c>
      <c r="E58" s="75">
        <f t="shared" si="0"/>
        <v>1125225</v>
      </c>
    </row>
    <row r="59" spans="1:5" ht="21">
      <c r="A59" s="76" t="s">
        <v>347</v>
      </c>
      <c r="B59" s="74"/>
      <c r="C59" s="75"/>
      <c r="D59" s="75">
        <v>1667136</v>
      </c>
      <c r="E59" s="75">
        <f t="shared" si="0"/>
        <v>1667136</v>
      </c>
    </row>
    <row r="60" spans="1:5" ht="21">
      <c r="A60" s="76" t="s">
        <v>346</v>
      </c>
      <c r="B60" s="74"/>
      <c r="C60" s="75"/>
      <c r="D60" s="75">
        <v>4000</v>
      </c>
      <c r="E60" s="75">
        <f t="shared" si="0"/>
        <v>4000</v>
      </c>
    </row>
    <row r="61" spans="1:5" ht="21">
      <c r="A61" s="76"/>
      <c r="B61" s="74"/>
      <c r="C61" s="75"/>
      <c r="D61" s="75"/>
      <c r="E61" s="75"/>
    </row>
    <row r="62" spans="1:5" ht="21.75" thickBot="1">
      <c r="A62" s="77" t="s">
        <v>39</v>
      </c>
      <c r="B62" s="74"/>
      <c r="C62" s="79">
        <f>SUM(C53)</f>
        <v>7720800</v>
      </c>
      <c r="D62" s="79">
        <f>SUM(D55:D61)</f>
        <v>3385261</v>
      </c>
      <c r="E62" s="79">
        <f>SUM(E55:E60)</f>
        <v>3385261</v>
      </c>
    </row>
    <row r="63" spans="1:5" ht="21.75" thickTop="1">
      <c r="A63" s="77" t="s">
        <v>74</v>
      </c>
      <c r="B63" s="74"/>
      <c r="C63" s="87">
        <f>C11+C24+C27+C32+C35+C50+C62</f>
        <v>17844400</v>
      </c>
      <c r="D63" s="87">
        <f>SUM(D11,D24,D27,D32,D50,D62)</f>
        <v>5176865.6899999995</v>
      </c>
      <c r="E63" s="87">
        <f>SUM(E11,E24,E27,E32,E50,E62)</f>
        <v>5624452.84</v>
      </c>
    </row>
    <row r="64" spans="1:5" ht="21">
      <c r="A64" s="89" t="s">
        <v>176</v>
      </c>
      <c r="B64" s="74"/>
      <c r="C64" s="84"/>
      <c r="D64" s="84"/>
      <c r="E64" s="84"/>
    </row>
    <row r="65" spans="1:5" ht="21">
      <c r="A65" s="73" t="s">
        <v>181</v>
      </c>
      <c r="B65" s="122">
        <v>441000</v>
      </c>
      <c r="C65" s="75"/>
      <c r="D65" s="75"/>
      <c r="E65" s="75"/>
    </row>
    <row r="66" spans="1:5" ht="21">
      <c r="A66" s="76" t="s">
        <v>177</v>
      </c>
      <c r="B66" s="74">
        <v>441002</v>
      </c>
      <c r="C66" s="75">
        <v>6313200</v>
      </c>
      <c r="D66" s="75">
        <v>2765500</v>
      </c>
      <c r="E66" s="75">
        <f>D66</f>
        <v>2765500</v>
      </c>
    </row>
    <row r="67" spans="1:5" ht="21">
      <c r="A67" s="76" t="s">
        <v>178</v>
      </c>
      <c r="B67" s="74">
        <v>441002</v>
      </c>
      <c r="C67" s="75">
        <v>1008000</v>
      </c>
      <c r="D67" s="75">
        <v>455000</v>
      </c>
      <c r="E67" s="75">
        <f>D67</f>
        <v>455000</v>
      </c>
    </row>
    <row r="68" spans="1:5" ht="21">
      <c r="A68" s="76" t="s">
        <v>179</v>
      </c>
      <c r="B68" s="74">
        <v>441001</v>
      </c>
      <c r="C68" s="75">
        <v>139700</v>
      </c>
      <c r="D68" s="75">
        <v>9360</v>
      </c>
      <c r="E68" s="75">
        <f>9360</f>
        <v>9360</v>
      </c>
    </row>
    <row r="69" spans="1:5" ht="21">
      <c r="A69" s="76" t="s">
        <v>180</v>
      </c>
      <c r="B69" s="74">
        <v>441002</v>
      </c>
      <c r="C69" s="75">
        <v>28000</v>
      </c>
      <c r="D69" s="75">
        <v>0</v>
      </c>
      <c r="E69" s="75">
        <v>0</v>
      </c>
    </row>
    <row r="70" spans="1:5" ht="21.75" thickBot="1">
      <c r="A70" s="77" t="s">
        <v>39</v>
      </c>
      <c r="B70" s="74"/>
      <c r="C70" s="79">
        <f>SUM(C66:C69)</f>
        <v>7488900</v>
      </c>
      <c r="D70" s="79">
        <f>SUM(D66:D69)</f>
        <v>3229860</v>
      </c>
      <c r="E70" s="79">
        <f>SUM(E66:E69)</f>
        <v>3229860</v>
      </c>
    </row>
    <row r="71" ht="18.75" thickTop="1"/>
  </sheetData>
  <mergeCells count="6">
    <mergeCell ref="A36:E36"/>
    <mergeCell ref="A37:E37"/>
    <mergeCell ref="A1:E1"/>
    <mergeCell ref="A2:E2"/>
    <mergeCell ref="A3:E3"/>
    <mergeCell ref="A4:E4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workbookViewId="0" topLeftCell="A1">
      <selection activeCell="A31" sqref="A31:C31"/>
    </sheetView>
  </sheetViews>
  <sheetFormatPr defaultColWidth="9.140625" defaultRowHeight="12.75"/>
  <cols>
    <col min="1" max="1" width="60.28125" style="78" customWidth="1"/>
    <col min="2" max="2" width="16.57421875" style="91" customWidth="1"/>
    <col min="3" max="3" width="17.28125" style="91" customWidth="1"/>
    <col min="4" max="16384" width="9.140625" style="78" customWidth="1"/>
  </cols>
  <sheetData>
    <row r="1" spans="1:3" ht="21">
      <c r="A1" s="322" t="s">
        <v>82</v>
      </c>
      <c r="B1" s="322"/>
      <c r="C1" s="322"/>
    </row>
    <row r="2" spans="1:3" ht="21">
      <c r="A2" s="322" t="s">
        <v>83</v>
      </c>
      <c r="B2" s="322"/>
      <c r="C2" s="322"/>
    </row>
    <row r="3" spans="1:3" ht="21">
      <c r="A3" s="323" t="s">
        <v>358</v>
      </c>
      <c r="B3" s="323"/>
      <c r="C3" s="323"/>
    </row>
    <row r="4" spans="1:3" ht="21">
      <c r="A4" s="69" t="s">
        <v>44</v>
      </c>
      <c r="B4" s="69" t="s">
        <v>47</v>
      </c>
      <c r="C4" s="69" t="s">
        <v>84</v>
      </c>
    </row>
    <row r="5" spans="1:3" ht="21">
      <c r="A5" s="88" t="s">
        <v>29</v>
      </c>
      <c r="B5" s="72"/>
      <c r="C5" s="72"/>
    </row>
    <row r="6" spans="1:3" ht="21">
      <c r="A6" s="76" t="s">
        <v>221</v>
      </c>
      <c r="B6" s="75">
        <v>5176865.69</v>
      </c>
      <c r="C6" s="75">
        <f>SUM(B6+447587.15)</f>
        <v>5624452.840000001</v>
      </c>
    </row>
    <row r="7" spans="1:3" ht="21">
      <c r="A7" s="76" t="s">
        <v>481</v>
      </c>
      <c r="B7" s="75">
        <v>3229860</v>
      </c>
      <c r="C7" s="75">
        <f>SUM(B7)</f>
        <v>3229860</v>
      </c>
    </row>
    <row r="8" spans="1:3" ht="21">
      <c r="A8" s="76" t="s">
        <v>85</v>
      </c>
      <c r="B8" s="75">
        <v>2450.38</v>
      </c>
      <c r="C8" s="75">
        <f>B8+5146.3</f>
        <v>7596.68</v>
      </c>
    </row>
    <row r="9" spans="1:3" ht="21">
      <c r="A9" s="76" t="s">
        <v>222</v>
      </c>
      <c r="B9" s="75">
        <v>0</v>
      </c>
      <c r="C9" s="75">
        <v>192990</v>
      </c>
    </row>
    <row r="10" spans="1:3" ht="21">
      <c r="A10" s="76" t="s">
        <v>223</v>
      </c>
      <c r="B10" s="75">
        <v>153000</v>
      </c>
      <c r="C10" s="75">
        <f>SUM(B10+141000)</f>
        <v>294000</v>
      </c>
    </row>
    <row r="11" spans="1:3" ht="21">
      <c r="A11" s="76" t="s">
        <v>224</v>
      </c>
      <c r="B11" s="75">
        <v>48000</v>
      </c>
      <c r="C11" s="75">
        <f>SUM(B11+134600)</f>
        <v>182600</v>
      </c>
    </row>
    <row r="12" spans="1:3" ht="21">
      <c r="A12" s="76" t="s">
        <v>482</v>
      </c>
      <c r="B12" s="75">
        <v>195570</v>
      </c>
      <c r="C12" s="75">
        <f>SUM(B12)</f>
        <v>195570</v>
      </c>
    </row>
    <row r="13" spans="1:3" ht="21.75" thickBot="1">
      <c r="A13" s="77" t="s">
        <v>39</v>
      </c>
      <c r="B13" s="79">
        <f>SUM(B6:B12)</f>
        <v>8805746.070000002</v>
      </c>
      <c r="C13" s="79">
        <f>SUM(C6:C11)</f>
        <v>9531499.52</v>
      </c>
    </row>
    <row r="14" spans="1:3" ht="21.75" thickTop="1">
      <c r="A14" s="89" t="s">
        <v>53</v>
      </c>
      <c r="B14" s="171"/>
      <c r="C14" s="75"/>
    </row>
    <row r="15" spans="1:3" ht="21">
      <c r="A15" s="76" t="s">
        <v>86</v>
      </c>
      <c r="B15" s="59">
        <v>1749337.12</v>
      </c>
      <c r="C15" s="75">
        <v>2262481.61</v>
      </c>
    </row>
    <row r="16" spans="1:3" ht="21">
      <c r="A16" s="76" t="s">
        <v>480</v>
      </c>
      <c r="B16" s="59">
        <v>641200</v>
      </c>
      <c r="C16" s="75">
        <v>1285300</v>
      </c>
    </row>
    <row r="17" spans="1:3" ht="21">
      <c r="A17" s="76" t="s">
        <v>87</v>
      </c>
      <c r="B17" s="75">
        <v>2367.72</v>
      </c>
      <c r="C17" s="75">
        <f>B17+1789.2</f>
        <v>4156.92</v>
      </c>
    </row>
    <row r="18" spans="1:3" ht="21">
      <c r="A18" s="76" t="s">
        <v>88</v>
      </c>
      <c r="B18" s="75">
        <v>48000</v>
      </c>
      <c r="C18" s="75">
        <f>SUM(B18+13000)</f>
        <v>61000</v>
      </c>
    </row>
    <row r="19" spans="1:3" ht="21">
      <c r="A19" s="76" t="s">
        <v>228</v>
      </c>
      <c r="B19" s="75">
        <v>240000</v>
      </c>
      <c r="C19" s="75">
        <f>SUM(B19+66000)</f>
        <v>306000</v>
      </c>
    </row>
    <row r="20" spans="1:3" ht="21">
      <c r="A20" s="76" t="s">
        <v>225</v>
      </c>
      <c r="B20" s="75">
        <v>0</v>
      </c>
      <c r="C20" s="75">
        <v>121600</v>
      </c>
    </row>
    <row r="21" spans="1:3" ht="21">
      <c r="A21" s="76" t="s">
        <v>226</v>
      </c>
      <c r="B21" s="75">
        <v>0</v>
      </c>
      <c r="C21" s="75">
        <v>248181.4</v>
      </c>
    </row>
    <row r="22" spans="1:3" ht="21">
      <c r="A22" s="76" t="s">
        <v>227</v>
      </c>
      <c r="B22" s="75">
        <v>6556</v>
      </c>
      <c r="C22" s="75">
        <f>SUM(B22+1077560)</f>
        <v>1084116</v>
      </c>
    </row>
    <row r="23" spans="1:3" ht="21">
      <c r="A23" s="76" t="s">
        <v>482</v>
      </c>
      <c r="B23" s="75">
        <v>195570</v>
      </c>
      <c r="C23" s="75">
        <v>195570</v>
      </c>
    </row>
    <row r="24" spans="1:3" ht="21.75" thickBot="1">
      <c r="A24" s="77" t="s">
        <v>39</v>
      </c>
      <c r="B24" s="79">
        <f>SUM(B15:B23)</f>
        <v>2883030.8400000003</v>
      </c>
      <c r="C24" s="79">
        <f>SUM(C15:C23)</f>
        <v>5568405.93</v>
      </c>
    </row>
    <row r="25" spans="1:3" ht="22.5" thickBot="1" thickTop="1">
      <c r="A25" s="77" t="s">
        <v>89</v>
      </c>
      <c r="B25" s="79">
        <f>B13-B24</f>
        <v>5922715.230000002</v>
      </c>
      <c r="C25" s="79">
        <f>C13-C24</f>
        <v>3963093.59</v>
      </c>
    </row>
    <row r="26" spans="1:5" ht="21.75" thickTop="1">
      <c r="A26" s="9" t="s">
        <v>30</v>
      </c>
      <c r="B26" s="28"/>
      <c r="C26" s="36"/>
      <c r="D26" s="36"/>
      <c r="E26" s="36"/>
    </row>
    <row r="27" spans="1:5" ht="21">
      <c r="A27" s="64" t="s">
        <v>31</v>
      </c>
      <c r="B27" s="28"/>
      <c r="C27" s="36"/>
      <c r="D27" s="36"/>
      <c r="E27" s="34"/>
    </row>
    <row r="28" spans="1:5" ht="21">
      <c r="A28" s="64"/>
      <c r="B28" s="28"/>
      <c r="C28" s="36"/>
      <c r="D28" s="36"/>
      <c r="E28" s="34"/>
    </row>
    <row r="29" spans="1:5" ht="21">
      <c r="A29" s="330" t="s">
        <v>90</v>
      </c>
      <c r="B29" s="330"/>
      <c r="C29" s="330"/>
      <c r="D29" s="29"/>
      <c r="E29" s="29"/>
    </row>
    <row r="30" spans="1:5" ht="21">
      <c r="A30" s="330" t="s">
        <v>234</v>
      </c>
      <c r="B30" s="330"/>
      <c r="C30" s="330"/>
      <c r="D30" s="29"/>
      <c r="E30" s="29"/>
    </row>
    <row r="31" spans="1:5" ht="21">
      <c r="A31" s="330" t="s">
        <v>32</v>
      </c>
      <c r="B31" s="330"/>
      <c r="C31" s="330"/>
      <c r="D31" s="29"/>
      <c r="E31" s="29"/>
    </row>
    <row r="32" spans="1:5" ht="21">
      <c r="A32" s="9"/>
      <c r="B32" s="28"/>
      <c r="C32" s="36"/>
      <c r="D32" s="36"/>
      <c r="E32" s="9"/>
    </row>
    <row r="33" spans="1:5" ht="21">
      <c r="A33" s="330" t="s">
        <v>341</v>
      </c>
      <c r="B33" s="330"/>
      <c r="C33" s="330"/>
      <c r="D33" s="29"/>
      <c r="E33" s="29"/>
    </row>
    <row r="34" spans="1:5" ht="21">
      <c r="A34" s="330" t="s">
        <v>33</v>
      </c>
      <c r="B34" s="330"/>
      <c r="C34" s="330"/>
      <c r="D34" s="29"/>
      <c r="E34" s="29"/>
    </row>
    <row r="35" spans="1:5" ht="21">
      <c r="A35" s="334">
        <v>239569</v>
      </c>
      <c r="B35" s="334"/>
      <c r="C35" s="334"/>
      <c r="D35" s="90"/>
      <c r="E35" s="90"/>
    </row>
    <row r="36" ht="21.75" customHeight="1"/>
    <row r="37" ht="21.75" customHeight="1"/>
  </sheetData>
  <mergeCells count="9">
    <mergeCell ref="A35:C35"/>
    <mergeCell ref="A30:C30"/>
    <mergeCell ref="A31:C31"/>
    <mergeCell ref="A33:C33"/>
    <mergeCell ref="A34:C34"/>
    <mergeCell ref="A1:C1"/>
    <mergeCell ref="A2:C2"/>
    <mergeCell ref="A3:C3"/>
    <mergeCell ref="A29:C29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3">
      <selection activeCell="G19" sqref="G19"/>
    </sheetView>
  </sheetViews>
  <sheetFormatPr defaultColWidth="9.140625" defaultRowHeight="12.75"/>
  <cols>
    <col min="1" max="1" width="11.421875" style="238" customWidth="1"/>
    <col min="2" max="2" width="7.7109375" style="78" customWidth="1"/>
    <col min="3" max="3" width="9.7109375" style="78" customWidth="1"/>
    <col min="4" max="5" width="6.7109375" style="78" customWidth="1"/>
    <col min="6" max="6" width="9.7109375" style="78" customWidth="1"/>
    <col min="7" max="8" width="7.7109375" style="78" customWidth="1"/>
    <col min="9" max="9" width="7.57421875" style="78" customWidth="1"/>
    <col min="10" max="10" width="20.140625" style="78" customWidth="1"/>
    <col min="11" max="16384" width="9.140625" style="78" customWidth="1"/>
  </cols>
  <sheetData>
    <row r="1" spans="1:10" ht="23.25">
      <c r="A1" s="231"/>
      <c r="B1" s="92"/>
      <c r="C1" s="92"/>
      <c r="D1" s="92"/>
      <c r="E1" s="92"/>
      <c r="F1" s="92"/>
      <c r="G1" s="239"/>
      <c r="H1" s="92"/>
      <c r="I1" s="92"/>
      <c r="J1" s="93"/>
    </row>
    <row r="2" spans="1:10" ht="23.25">
      <c r="A2" s="324" t="s">
        <v>91</v>
      </c>
      <c r="B2" s="324"/>
      <c r="C2" s="324"/>
      <c r="D2" s="324"/>
      <c r="E2" s="324"/>
      <c r="F2" s="324"/>
      <c r="G2" s="316" t="s">
        <v>92</v>
      </c>
      <c r="H2" s="324"/>
      <c r="I2" s="324"/>
      <c r="J2" s="324"/>
    </row>
    <row r="3" spans="1:10" ht="23.25">
      <c r="A3" s="324" t="s">
        <v>93</v>
      </c>
      <c r="B3" s="324"/>
      <c r="C3" s="324"/>
      <c r="D3" s="324"/>
      <c r="E3" s="324"/>
      <c r="F3" s="324"/>
      <c r="G3" s="316" t="s">
        <v>231</v>
      </c>
      <c r="H3" s="324"/>
      <c r="I3" s="324"/>
      <c r="J3" s="324"/>
    </row>
    <row r="4" spans="1:10" ht="23.25">
      <c r="A4" s="232"/>
      <c r="B4" s="94"/>
      <c r="C4" s="94"/>
      <c r="D4" s="94"/>
      <c r="E4" s="94"/>
      <c r="F4" s="94"/>
      <c r="G4" s="240"/>
      <c r="H4" s="94"/>
      <c r="I4" s="94"/>
      <c r="J4" s="94"/>
    </row>
    <row r="5" spans="1:10" ht="23.25">
      <c r="A5" s="317" t="s">
        <v>464</v>
      </c>
      <c r="B5" s="317"/>
      <c r="C5" s="317"/>
      <c r="D5" s="317"/>
      <c r="E5" s="317"/>
      <c r="F5" s="310"/>
      <c r="G5" s="95"/>
      <c r="H5" s="95"/>
      <c r="I5" s="95"/>
      <c r="J5" s="96">
        <v>5991062.7</v>
      </c>
    </row>
    <row r="6" spans="1:10" ht="23.25">
      <c r="A6" s="233"/>
      <c r="B6" s="97"/>
      <c r="C6" s="97"/>
      <c r="D6" s="97"/>
      <c r="E6" s="97"/>
      <c r="F6" s="98"/>
      <c r="G6" s="95"/>
      <c r="H6" s="95"/>
      <c r="I6" s="95"/>
      <c r="J6" s="96"/>
    </row>
    <row r="7" spans="1:10" ht="23.25">
      <c r="A7" s="233"/>
      <c r="B7" s="97"/>
      <c r="C7" s="97"/>
      <c r="D7" s="97"/>
      <c r="E7" s="97"/>
      <c r="F7" s="98"/>
      <c r="G7" s="95"/>
      <c r="H7" s="95"/>
      <c r="I7" s="95"/>
      <c r="J7" s="96"/>
    </row>
    <row r="8" spans="1:10" ht="23.25">
      <c r="A8" s="234"/>
      <c r="B8" s="99"/>
      <c r="C8" s="99"/>
      <c r="D8" s="99"/>
      <c r="E8" s="99"/>
      <c r="F8" s="98"/>
      <c r="G8" s="95"/>
      <c r="H8" s="95"/>
      <c r="I8" s="95"/>
      <c r="J8" s="96"/>
    </row>
    <row r="9" spans="1:10" ht="23.25">
      <c r="A9" s="234"/>
      <c r="B9" s="99"/>
      <c r="C9" s="99"/>
      <c r="D9" s="99"/>
      <c r="E9" s="99"/>
      <c r="F9" s="98"/>
      <c r="G9" s="95"/>
      <c r="H9" s="95"/>
      <c r="I9" s="95"/>
      <c r="J9" s="96"/>
    </row>
    <row r="10" spans="1:10" ht="23.25">
      <c r="A10" s="234"/>
      <c r="B10" s="99"/>
      <c r="C10" s="99"/>
      <c r="D10" s="99"/>
      <c r="E10" s="99"/>
      <c r="F10" s="98"/>
      <c r="G10" s="95"/>
      <c r="H10" s="95"/>
      <c r="I10" s="95"/>
      <c r="J10" s="96"/>
    </row>
    <row r="11" spans="1:10" ht="23.25">
      <c r="A11" s="313" t="s">
        <v>94</v>
      </c>
      <c r="B11" s="313"/>
      <c r="C11" s="313"/>
      <c r="D11" s="313"/>
      <c r="E11" s="313"/>
      <c r="F11" s="98"/>
      <c r="G11" s="95"/>
      <c r="H11" s="95"/>
      <c r="I11" s="95"/>
      <c r="J11" s="96"/>
    </row>
    <row r="12" spans="1:10" ht="23.25">
      <c r="A12" s="235" t="s">
        <v>95</v>
      </c>
      <c r="B12" s="99"/>
      <c r="C12" s="100" t="s">
        <v>96</v>
      </c>
      <c r="D12" s="99"/>
      <c r="E12" s="99"/>
      <c r="F12" s="101" t="s">
        <v>97</v>
      </c>
      <c r="G12" s="95"/>
      <c r="H12" s="95"/>
      <c r="I12" s="95"/>
      <c r="J12" s="96"/>
    </row>
    <row r="13" spans="1:10" ht="23.25">
      <c r="A13" s="235" t="s">
        <v>466</v>
      </c>
      <c r="B13" s="99"/>
      <c r="C13" s="99">
        <v>7277326</v>
      </c>
      <c r="D13" s="99"/>
      <c r="E13" s="99"/>
      <c r="F13" s="102">
        <v>1360</v>
      </c>
      <c r="G13" s="95"/>
      <c r="H13" s="95"/>
      <c r="I13" s="95"/>
      <c r="J13" s="103"/>
    </row>
    <row r="14" spans="1:10" ht="23.25">
      <c r="A14" s="235" t="s">
        <v>465</v>
      </c>
      <c r="B14" s="99"/>
      <c r="C14" s="99">
        <v>7277306</v>
      </c>
      <c r="D14" s="99"/>
      <c r="E14" s="99"/>
      <c r="F14" s="102">
        <v>2362.22</v>
      </c>
      <c r="G14" s="95"/>
      <c r="H14" s="95"/>
      <c r="I14" s="95"/>
      <c r="J14" s="103">
        <v>3722.22</v>
      </c>
    </row>
    <row r="15" spans="1:10" ht="23.25">
      <c r="A15" s="234"/>
      <c r="B15" s="99"/>
      <c r="C15" s="99"/>
      <c r="D15" s="99"/>
      <c r="E15" s="99"/>
      <c r="F15" s="102"/>
      <c r="G15" s="95"/>
      <c r="H15" s="95"/>
      <c r="I15" s="95"/>
      <c r="J15" s="103"/>
    </row>
    <row r="16" spans="1:10" ht="23.25">
      <c r="A16" s="234"/>
      <c r="B16" s="99"/>
      <c r="C16" s="99"/>
      <c r="D16" s="99"/>
      <c r="E16" s="99"/>
      <c r="F16" s="102"/>
      <c r="G16" s="95"/>
      <c r="H16" s="95"/>
      <c r="I16" s="95"/>
      <c r="J16" s="103"/>
    </row>
    <row r="17" spans="1:10" ht="23.25">
      <c r="A17" s="234"/>
      <c r="B17" s="99"/>
      <c r="C17" s="99"/>
      <c r="D17" s="99"/>
      <c r="E17" s="99"/>
      <c r="F17" s="102"/>
      <c r="G17" s="95"/>
      <c r="H17" s="95"/>
      <c r="I17" s="95"/>
      <c r="J17" s="96"/>
    </row>
    <row r="18" spans="1:10" ht="23.25">
      <c r="A18" s="234"/>
      <c r="B18" s="99"/>
      <c r="C18" s="99"/>
      <c r="D18" s="99"/>
      <c r="E18" s="99"/>
      <c r="F18" s="102"/>
      <c r="G18" s="95"/>
      <c r="H18" s="95"/>
      <c r="I18" s="95"/>
      <c r="J18" s="96"/>
    </row>
    <row r="19" spans="1:10" ht="23.25">
      <c r="A19" s="234"/>
      <c r="B19" s="99"/>
      <c r="C19" s="99"/>
      <c r="D19" s="99"/>
      <c r="E19" s="99"/>
      <c r="F19" s="102"/>
      <c r="G19" s="95"/>
      <c r="H19" s="95"/>
      <c r="I19" s="95"/>
      <c r="J19" s="96"/>
    </row>
    <row r="20" spans="1:10" ht="23.25">
      <c r="A20" s="234"/>
      <c r="B20" s="99"/>
      <c r="C20" s="99"/>
      <c r="D20" s="99"/>
      <c r="E20" s="99"/>
      <c r="F20" s="102"/>
      <c r="G20" s="95"/>
      <c r="H20" s="95"/>
      <c r="I20" s="95"/>
      <c r="J20" s="96"/>
    </row>
    <row r="21" spans="1:10" ht="23.25">
      <c r="A21" s="99" t="s">
        <v>467</v>
      </c>
      <c r="B21" s="99"/>
      <c r="C21" s="99"/>
      <c r="D21" s="99"/>
      <c r="E21" s="99"/>
      <c r="F21" s="102"/>
      <c r="G21" s="95"/>
      <c r="H21" s="95"/>
      <c r="I21" s="95"/>
      <c r="J21" s="96">
        <f>SUM(J5-J14)</f>
        <v>5987340.48</v>
      </c>
    </row>
    <row r="22" spans="1:10" ht="23.25">
      <c r="A22" s="234"/>
      <c r="B22" s="99"/>
      <c r="C22" s="99"/>
      <c r="D22" s="99"/>
      <c r="E22" s="99"/>
      <c r="F22" s="102"/>
      <c r="G22" s="95"/>
      <c r="H22" s="95"/>
      <c r="I22" s="95"/>
      <c r="J22" s="96"/>
    </row>
    <row r="23" spans="1:10" ht="23.25">
      <c r="A23" s="234"/>
      <c r="B23" s="99"/>
      <c r="C23" s="99"/>
      <c r="D23" s="99"/>
      <c r="E23" s="99"/>
      <c r="F23" s="102"/>
      <c r="G23" s="95"/>
      <c r="H23" s="95"/>
      <c r="I23" s="95"/>
      <c r="J23" s="96"/>
    </row>
    <row r="24" spans="1:10" ht="23.25">
      <c r="A24" s="234"/>
      <c r="B24" s="99"/>
      <c r="C24" s="99"/>
      <c r="D24" s="99"/>
      <c r="E24" s="99"/>
      <c r="F24" s="102"/>
      <c r="G24" s="95"/>
      <c r="H24" s="95"/>
      <c r="I24" s="95"/>
      <c r="J24" s="96"/>
    </row>
    <row r="25" spans="1:10" ht="23.25">
      <c r="A25" s="234"/>
      <c r="B25" s="99"/>
      <c r="C25" s="99"/>
      <c r="D25" s="99"/>
      <c r="E25" s="99"/>
      <c r="F25" s="102"/>
      <c r="G25" s="95"/>
      <c r="H25" s="95"/>
      <c r="I25" s="95"/>
      <c r="J25" s="96"/>
    </row>
    <row r="26" spans="1:10" ht="23.25">
      <c r="A26" s="234"/>
      <c r="B26" s="99"/>
      <c r="C26" s="99"/>
      <c r="D26" s="99"/>
      <c r="E26" s="99"/>
      <c r="F26" s="104"/>
      <c r="G26" s="95"/>
      <c r="H26" s="95"/>
      <c r="I26" s="95"/>
      <c r="J26" s="96"/>
    </row>
    <row r="27" spans="1:10" ht="23.25">
      <c r="A27" s="236" t="s">
        <v>98</v>
      </c>
      <c r="B27" s="105"/>
      <c r="C27" s="105"/>
      <c r="D27" s="105"/>
      <c r="E27" s="105"/>
      <c r="F27" s="106"/>
      <c r="G27" s="311" t="s">
        <v>99</v>
      </c>
      <c r="H27" s="317"/>
      <c r="I27" s="317"/>
      <c r="J27" s="317"/>
    </row>
    <row r="28" spans="1:10" ht="23.25">
      <c r="A28" s="233"/>
      <c r="B28" s="97"/>
      <c r="C28" s="97"/>
      <c r="D28" s="97"/>
      <c r="E28" s="97"/>
      <c r="F28" s="102"/>
      <c r="G28" s="97"/>
      <c r="H28" s="97"/>
      <c r="I28" s="97"/>
      <c r="J28" s="97"/>
    </row>
    <row r="29" spans="1:11" ht="23.25">
      <c r="A29" s="314" t="s">
        <v>472</v>
      </c>
      <c r="B29" s="314"/>
      <c r="C29" s="314"/>
      <c r="D29" s="314"/>
      <c r="E29" s="314"/>
      <c r="F29" s="315"/>
      <c r="G29" s="316" t="s">
        <v>473</v>
      </c>
      <c r="H29" s="324"/>
      <c r="I29" s="324"/>
      <c r="J29" s="324"/>
      <c r="K29" s="97"/>
    </row>
    <row r="30" spans="1:10" ht="23.25">
      <c r="A30" s="324" t="s">
        <v>229</v>
      </c>
      <c r="B30" s="324"/>
      <c r="C30" s="324"/>
      <c r="D30" s="324"/>
      <c r="E30" s="97"/>
      <c r="F30" s="102"/>
      <c r="G30" s="325" t="s">
        <v>230</v>
      </c>
      <c r="H30" s="326"/>
      <c r="I30" s="326"/>
      <c r="J30" s="326"/>
    </row>
    <row r="31" spans="1:10" ht="23.25">
      <c r="A31" s="237"/>
      <c r="B31" s="107"/>
      <c r="C31" s="107"/>
      <c r="D31" s="107"/>
      <c r="E31" s="107"/>
      <c r="F31" s="104"/>
      <c r="G31" s="108"/>
      <c r="H31" s="108"/>
      <c r="I31" s="108"/>
      <c r="J31" s="109"/>
    </row>
    <row r="34" ht="21.75" customHeight="1"/>
    <row r="35" ht="21.75" customHeight="1"/>
  </sheetData>
  <mergeCells count="11">
    <mergeCell ref="G2:J2"/>
    <mergeCell ref="A3:F3"/>
    <mergeCell ref="G3:J3"/>
    <mergeCell ref="A5:F5"/>
    <mergeCell ref="A2:F2"/>
    <mergeCell ref="A30:D30"/>
    <mergeCell ref="G30:J30"/>
    <mergeCell ref="A11:E11"/>
    <mergeCell ref="A29:F29"/>
    <mergeCell ref="G29:J29"/>
    <mergeCell ref="G27:J27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H129" sqref="H129"/>
    </sheetView>
  </sheetViews>
  <sheetFormatPr defaultColWidth="9.140625" defaultRowHeight="15.75" customHeight="1"/>
  <cols>
    <col min="1" max="1" width="8.8515625" style="243" customWidth="1"/>
    <col min="2" max="2" width="18.140625" style="243" customWidth="1"/>
    <col min="3" max="3" width="12.8515625" style="278" customWidth="1"/>
    <col min="4" max="4" width="9.00390625" style="279" customWidth="1"/>
    <col min="5" max="5" width="7.8515625" style="279" customWidth="1"/>
    <col min="6" max="6" width="11.140625" style="279" customWidth="1"/>
    <col min="7" max="7" width="10.28125" style="279" customWidth="1"/>
    <col min="8" max="8" width="11.28125" style="279" customWidth="1"/>
    <col min="9" max="9" width="11.8515625" style="279" customWidth="1"/>
    <col min="10" max="10" width="12.28125" style="242" customWidth="1"/>
    <col min="11" max="11" width="9.8515625" style="242" customWidth="1"/>
    <col min="12" max="12" width="10.421875" style="242" customWidth="1"/>
    <col min="13" max="16384" width="9.140625" style="243" customWidth="1"/>
  </cols>
  <sheetData>
    <row r="1" spans="1:12" ht="16.5" customHeight="1">
      <c r="A1" s="322" t="s">
        <v>235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6.5" customHeight="1">
      <c r="A2" s="342" t="s">
        <v>359</v>
      </c>
      <c r="B2" s="342"/>
      <c r="C2" s="342"/>
      <c r="D2" s="342"/>
      <c r="E2" s="342"/>
      <c r="F2" s="343"/>
      <c r="G2" s="343"/>
      <c r="H2" s="342"/>
      <c r="I2" s="342"/>
      <c r="J2" s="342"/>
      <c r="K2" s="342"/>
      <c r="L2" s="342"/>
    </row>
    <row r="3" spans="1:12" s="249" customFormat="1" ht="15.75" customHeight="1">
      <c r="A3" s="244"/>
      <c r="B3" s="245"/>
      <c r="C3" s="246" t="s">
        <v>246</v>
      </c>
      <c r="D3" s="354" t="s">
        <v>238</v>
      </c>
      <c r="E3" s="355"/>
      <c r="F3" s="349" t="s">
        <v>240</v>
      </c>
      <c r="G3" s="358"/>
      <c r="H3" s="358" t="s">
        <v>242</v>
      </c>
      <c r="I3" s="247" t="s">
        <v>256</v>
      </c>
      <c r="J3" s="247" t="s">
        <v>261</v>
      </c>
      <c r="K3" s="349" t="s">
        <v>263</v>
      </c>
      <c r="L3" s="346" t="s">
        <v>266</v>
      </c>
    </row>
    <row r="4" spans="1:12" s="249" customFormat="1" ht="15.75" customHeight="1">
      <c r="A4" s="250"/>
      <c r="B4" s="251"/>
      <c r="C4" s="252"/>
      <c r="D4" s="356"/>
      <c r="E4" s="357"/>
      <c r="F4" s="350"/>
      <c r="G4" s="359"/>
      <c r="H4" s="359"/>
      <c r="I4" s="253" t="s">
        <v>255</v>
      </c>
      <c r="J4" s="253" t="s">
        <v>262</v>
      </c>
      <c r="K4" s="350"/>
      <c r="L4" s="347"/>
    </row>
    <row r="5" spans="1:12" s="249" customFormat="1" ht="15.75" customHeight="1">
      <c r="A5" s="250" t="s">
        <v>245</v>
      </c>
      <c r="B5" s="251"/>
      <c r="C5" s="252"/>
      <c r="D5" s="247" t="s">
        <v>258</v>
      </c>
      <c r="E5" s="247" t="s">
        <v>260</v>
      </c>
      <c r="F5" s="254" t="s">
        <v>239</v>
      </c>
      <c r="G5" s="254" t="s">
        <v>379</v>
      </c>
      <c r="H5" s="247" t="s">
        <v>239</v>
      </c>
      <c r="I5" s="254" t="s">
        <v>239</v>
      </c>
      <c r="J5" s="247" t="s">
        <v>264</v>
      </c>
      <c r="K5" s="349" t="s">
        <v>51</v>
      </c>
      <c r="L5" s="347"/>
    </row>
    <row r="6" spans="1:12" s="249" customFormat="1" ht="15.75" customHeight="1">
      <c r="A6" s="255"/>
      <c r="B6" s="256"/>
      <c r="C6" s="257"/>
      <c r="D6" s="253" t="s">
        <v>257</v>
      </c>
      <c r="E6" s="253" t="s">
        <v>259</v>
      </c>
      <c r="F6" s="253" t="s">
        <v>241</v>
      </c>
      <c r="G6" s="253" t="s">
        <v>380</v>
      </c>
      <c r="H6" s="253" t="s">
        <v>243</v>
      </c>
      <c r="I6" s="253" t="s">
        <v>244</v>
      </c>
      <c r="J6" s="253" t="s">
        <v>265</v>
      </c>
      <c r="K6" s="350"/>
      <c r="L6" s="348"/>
    </row>
    <row r="7" spans="1:12" ht="15.75" customHeight="1">
      <c r="A7" s="258" t="s">
        <v>51</v>
      </c>
      <c r="B7" s="259" t="s">
        <v>219</v>
      </c>
      <c r="C7" s="260" t="s">
        <v>282</v>
      </c>
      <c r="D7" s="261" t="s">
        <v>276</v>
      </c>
      <c r="E7" s="261" t="s">
        <v>276</v>
      </c>
      <c r="F7" s="261" t="s">
        <v>276</v>
      </c>
      <c r="G7" s="261">
        <v>0</v>
      </c>
      <c r="H7" s="261" t="s">
        <v>276</v>
      </c>
      <c r="I7" s="261" t="s">
        <v>276</v>
      </c>
      <c r="J7" s="261" t="s">
        <v>276</v>
      </c>
      <c r="K7" s="275">
        <f>542800+3900+4000</f>
        <v>550700</v>
      </c>
      <c r="L7" s="261">
        <f>K7</f>
        <v>550700</v>
      </c>
    </row>
    <row r="8" spans="1:12" ht="15.75" customHeight="1">
      <c r="A8" s="262"/>
      <c r="B8" s="259" t="s">
        <v>220</v>
      </c>
      <c r="C8" s="260" t="s">
        <v>282</v>
      </c>
      <c r="D8" s="261" t="s">
        <v>276</v>
      </c>
      <c r="E8" s="261" t="s">
        <v>276</v>
      </c>
      <c r="F8" s="261" t="s">
        <v>276</v>
      </c>
      <c r="G8" s="261">
        <v>0</v>
      </c>
      <c r="H8" s="261" t="s">
        <v>276</v>
      </c>
      <c r="I8" s="261" t="s">
        <v>276</v>
      </c>
      <c r="J8" s="261" t="s">
        <v>276</v>
      </c>
      <c r="K8" s="275">
        <f>88500+1000+1000</f>
        <v>90500</v>
      </c>
      <c r="L8" s="261">
        <f>SUM(K8)</f>
        <v>90500</v>
      </c>
    </row>
    <row r="9" spans="1:12" ht="15.75" customHeight="1">
      <c r="A9" s="262"/>
      <c r="B9" s="259" t="s">
        <v>236</v>
      </c>
      <c r="C9" s="260" t="s">
        <v>237</v>
      </c>
      <c r="D9" s="261" t="s">
        <v>276</v>
      </c>
      <c r="E9" s="261" t="s">
        <v>276</v>
      </c>
      <c r="F9" s="261" t="s">
        <v>276</v>
      </c>
      <c r="G9" s="261">
        <v>0</v>
      </c>
      <c r="H9" s="261" t="s">
        <v>276</v>
      </c>
      <c r="I9" s="261" t="s">
        <v>276</v>
      </c>
      <c r="J9" s="261" t="s">
        <v>276</v>
      </c>
      <c r="K9" s="275">
        <f>1000+1000</f>
        <v>2000</v>
      </c>
      <c r="L9" s="261">
        <f>SUM(K9)</f>
        <v>2000</v>
      </c>
    </row>
    <row r="10" spans="1:12" ht="15.75" customHeight="1">
      <c r="A10" s="262"/>
      <c r="B10" s="259" t="s">
        <v>364</v>
      </c>
      <c r="C10" s="260" t="s">
        <v>237</v>
      </c>
      <c r="D10" s="261" t="s">
        <v>276</v>
      </c>
      <c r="E10" s="261" t="s">
        <v>276</v>
      </c>
      <c r="F10" s="261" t="s">
        <v>276</v>
      </c>
      <c r="G10" s="261">
        <v>0</v>
      </c>
      <c r="H10" s="261" t="s">
        <v>276</v>
      </c>
      <c r="I10" s="261" t="s">
        <v>276</v>
      </c>
      <c r="J10" s="261" t="s">
        <v>276</v>
      </c>
      <c r="K10" s="287">
        <v>6156</v>
      </c>
      <c r="L10" s="261">
        <f>SUM(K10)</f>
        <v>6156</v>
      </c>
    </row>
    <row r="11" spans="1:12" ht="15.75" customHeight="1">
      <c r="A11" s="262"/>
      <c r="B11" s="259" t="s">
        <v>369</v>
      </c>
      <c r="C11" s="260" t="s">
        <v>237</v>
      </c>
      <c r="D11" s="261">
        <v>0</v>
      </c>
      <c r="E11" s="261">
        <v>0</v>
      </c>
      <c r="F11" s="261">
        <v>0</v>
      </c>
      <c r="G11" s="261">
        <v>0</v>
      </c>
      <c r="H11" s="261" t="s">
        <v>276</v>
      </c>
      <c r="I11" s="261">
        <v>0</v>
      </c>
      <c r="J11" s="261" t="s">
        <v>276</v>
      </c>
      <c r="K11" s="275">
        <v>0</v>
      </c>
      <c r="L11" s="261">
        <v>0</v>
      </c>
    </row>
    <row r="12" spans="1:12" ht="15.75" customHeight="1">
      <c r="A12" s="262"/>
      <c r="B12" s="259" t="s">
        <v>287</v>
      </c>
      <c r="C12" s="260" t="s">
        <v>237</v>
      </c>
      <c r="D12" s="261">
        <v>0</v>
      </c>
      <c r="E12" s="261">
        <v>0</v>
      </c>
      <c r="F12" s="261">
        <v>0</v>
      </c>
      <c r="G12" s="261">
        <v>0</v>
      </c>
      <c r="H12" s="261" t="s">
        <v>276</v>
      </c>
      <c r="I12" s="261">
        <v>0</v>
      </c>
      <c r="J12" s="261" t="s">
        <v>276</v>
      </c>
      <c r="K12" s="287">
        <v>0</v>
      </c>
      <c r="L12" s="261">
        <v>0</v>
      </c>
    </row>
    <row r="13" spans="1:12" ht="15.75" customHeight="1">
      <c r="A13" s="264"/>
      <c r="B13" s="361" t="s">
        <v>389</v>
      </c>
      <c r="C13" s="362"/>
      <c r="D13" s="265" t="s">
        <v>276</v>
      </c>
      <c r="E13" s="265" t="s">
        <v>276</v>
      </c>
      <c r="F13" s="265" t="s">
        <v>276</v>
      </c>
      <c r="G13" s="265">
        <v>0</v>
      </c>
      <c r="H13" s="265" t="s">
        <v>276</v>
      </c>
      <c r="I13" s="265" t="s">
        <v>276</v>
      </c>
      <c r="J13" s="265" t="s">
        <v>276</v>
      </c>
      <c r="K13" s="288">
        <f>SUM(K7:K12)</f>
        <v>649356</v>
      </c>
      <c r="L13" s="265">
        <f>SUM(L7:L12)</f>
        <v>649356</v>
      </c>
    </row>
    <row r="14" spans="1:12" ht="15.75" customHeight="1">
      <c r="A14" s="262"/>
      <c r="B14" s="361" t="s">
        <v>390</v>
      </c>
      <c r="C14" s="362"/>
      <c r="D14" s="265">
        <f aca="true" t="shared" si="0" ref="D14:J14">SUM(D13)</f>
        <v>0</v>
      </c>
      <c r="E14" s="265">
        <f t="shared" si="0"/>
        <v>0</v>
      </c>
      <c r="F14" s="265">
        <f t="shared" si="0"/>
        <v>0</v>
      </c>
      <c r="G14" s="266">
        <f t="shared" si="0"/>
        <v>0</v>
      </c>
      <c r="H14" s="265">
        <f t="shared" si="0"/>
        <v>0</v>
      </c>
      <c r="I14" s="265">
        <f t="shared" si="0"/>
        <v>0</v>
      </c>
      <c r="J14" s="265">
        <f t="shared" si="0"/>
        <v>0</v>
      </c>
      <c r="K14" s="288">
        <f>SUM(K13+646100)</f>
        <v>1295456</v>
      </c>
      <c r="L14" s="265">
        <f>SUM(L13+646100)</f>
        <v>1295456</v>
      </c>
    </row>
    <row r="15" spans="1:12" ht="15.75" customHeight="1">
      <c r="A15" s="258" t="s">
        <v>391</v>
      </c>
      <c r="B15" s="258" t="s">
        <v>392</v>
      </c>
      <c r="C15" s="267" t="s">
        <v>237</v>
      </c>
      <c r="D15" s="268" t="s">
        <v>276</v>
      </c>
      <c r="E15" s="268" t="s">
        <v>276</v>
      </c>
      <c r="F15" s="268" t="s">
        <v>276</v>
      </c>
      <c r="G15" s="269">
        <v>0</v>
      </c>
      <c r="H15" s="268" t="s">
        <v>276</v>
      </c>
      <c r="I15" s="268" t="s">
        <v>276</v>
      </c>
      <c r="J15" s="268" t="s">
        <v>276</v>
      </c>
      <c r="K15" s="289">
        <v>0</v>
      </c>
      <c r="L15" s="268">
        <v>0</v>
      </c>
    </row>
    <row r="16" spans="1:12" ht="15.75" customHeight="1">
      <c r="A16" s="262"/>
      <c r="B16" s="344" t="s">
        <v>389</v>
      </c>
      <c r="C16" s="345"/>
      <c r="D16" s="261" t="s">
        <v>276</v>
      </c>
      <c r="E16" s="261" t="s">
        <v>276</v>
      </c>
      <c r="F16" s="261" t="s">
        <v>276</v>
      </c>
      <c r="G16" s="261">
        <v>0</v>
      </c>
      <c r="H16" s="261" t="s">
        <v>276</v>
      </c>
      <c r="I16" s="261" t="s">
        <v>276</v>
      </c>
      <c r="J16" s="261" t="s">
        <v>276</v>
      </c>
      <c r="K16" s="275">
        <v>0</v>
      </c>
      <c r="L16" s="261">
        <f>SUM(K16)</f>
        <v>0</v>
      </c>
    </row>
    <row r="17" spans="1:12" ht="15.75" customHeight="1">
      <c r="A17" s="262"/>
      <c r="B17" s="344" t="s">
        <v>390</v>
      </c>
      <c r="C17" s="345"/>
      <c r="D17" s="261">
        <f aca="true" t="shared" si="1" ref="D17:J17">SUM(D16)</f>
        <v>0</v>
      </c>
      <c r="E17" s="261">
        <f t="shared" si="1"/>
        <v>0</v>
      </c>
      <c r="F17" s="261">
        <f t="shared" si="1"/>
        <v>0</v>
      </c>
      <c r="G17" s="261">
        <f t="shared" si="1"/>
        <v>0</v>
      </c>
      <c r="H17" s="261">
        <f t="shared" si="1"/>
        <v>0</v>
      </c>
      <c r="I17" s="261">
        <f t="shared" si="1"/>
        <v>0</v>
      </c>
      <c r="J17" s="261">
        <f t="shared" si="1"/>
        <v>0</v>
      </c>
      <c r="K17" s="275">
        <f>101236</f>
        <v>101236</v>
      </c>
      <c r="L17" s="261">
        <f>SUM(K17)</f>
        <v>101236</v>
      </c>
    </row>
    <row r="18" spans="1:12" ht="15.75" customHeight="1">
      <c r="A18" s="258" t="s">
        <v>281</v>
      </c>
      <c r="B18" s="259" t="s">
        <v>360</v>
      </c>
      <c r="C18" s="260" t="s">
        <v>237</v>
      </c>
      <c r="D18" s="261">
        <f>49652+17108+9386+9386</f>
        <v>85532</v>
      </c>
      <c r="E18" s="261">
        <v>0</v>
      </c>
      <c r="F18" s="261">
        <v>0</v>
      </c>
      <c r="G18" s="261">
        <v>0</v>
      </c>
      <c r="H18" s="261" t="s">
        <v>276</v>
      </c>
      <c r="I18" s="261">
        <v>0</v>
      </c>
      <c r="J18" s="261" t="s">
        <v>276</v>
      </c>
      <c r="K18" s="275" t="s">
        <v>276</v>
      </c>
      <c r="L18" s="261">
        <f aca="true" t="shared" si="2" ref="L18:L23">SUM(D18:K18)</f>
        <v>85532</v>
      </c>
    </row>
    <row r="19" spans="1:12" ht="15.75" customHeight="1">
      <c r="A19" s="262" t="s">
        <v>1</v>
      </c>
      <c r="B19" s="259" t="s">
        <v>361</v>
      </c>
      <c r="C19" s="260" t="s">
        <v>237</v>
      </c>
      <c r="D19" s="261">
        <f>3804+1456+728+728</f>
        <v>6716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75">
        <v>0</v>
      </c>
      <c r="L19" s="261">
        <f t="shared" si="2"/>
        <v>6716</v>
      </c>
    </row>
    <row r="20" spans="1:12" ht="15.75" customHeight="1">
      <c r="A20" s="262"/>
      <c r="B20" s="259" t="s">
        <v>362</v>
      </c>
      <c r="C20" s="260" t="s">
        <v>237</v>
      </c>
      <c r="D20" s="261">
        <f>3804+1456+728+728</f>
        <v>6716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75">
        <v>0</v>
      </c>
      <c r="L20" s="261">
        <f t="shared" si="2"/>
        <v>6716</v>
      </c>
    </row>
    <row r="21" spans="1:12" ht="15.75" customHeight="1">
      <c r="A21" s="262"/>
      <c r="B21" s="259" t="s">
        <v>363</v>
      </c>
      <c r="C21" s="260" t="s">
        <v>237</v>
      </c>
      <c r="D21" s="261">
        <f>7200+6032</f>
        <v>13232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75">
        <v>0</v>
      </c>
      <c r="L21" s="261">
        <f t="shared" si="2"/>
        <v>13232</v>
      </c>
    </row>
    <row r="22" spans="1:12" ht="15.75" customHeight="1">
      <c r="A22" s="262"/>
      <c r="B22" s="259" t="s">
        <v>351</v>
      </c>
      <c r="C22" s="260" t="s">
        <v>237</v>
      </c>
      <c r="D22" s="261">
        <f>178800+177338</f>
        <v>356138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75">
        <v>0</v>
      </c>
      <c r="L22" s="261">
        <f t="shared" si="2"/>
        <v>356138</v>
      </c>
    </row>
    <row r="23" spans="1:12" ht="15.75" customHeight="1">
      <c r="A23" s="262"/>
      <c r="B23" s="259" t="s">
        <v>6</v>
      </c>
      <c r="C23" s="260" t="s">
        <v>237</v>
      </c>
      <c r="D23" s="261">
        <f>7200+6032</f>
        <v>13232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75">
        <v>0</v>
      </c>
      <c r="L23" s="261">
        <f t="shared" si="2"/>
        <v>13232</v>
      </c>
    </row>
    <row r="24" spans="1:12" ht="15.75" customHeight="1">
      <c r="A24" s="262"/>
      <c r="B24" s="344" t="s">
        <v>389</v>
      </c>
      <c r="C24" s="345"/>
      <c r="D24" s="265">
        <f>SUM(D18:D23)</f>
        <v>481566</v>
      </c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88">
        <v>0</v>
      </c>
      <c r="L24" s="265">
        <f>SUM(L18:L23)</f>
        <v>481566</v>
      </c>
    </row>
    <row r="25" spans="1:12" ht="15.75" customHeight="1">
      <c r="A25" s="262"/>
      <c r="B25" s="344" t="s">
        <v>390</v>
      </c>
      <c r="C25" s="345"/>
      <c r="D25" s="265">
        <f aca="true" t="shared" si="3" ref="D25:L25">SUM(D24)</f>
        <v>481566</v>
      </c>
      <c r="E25" s="265">
        <f t="shared" si="3"/>
        <v>0</v>
      </c>
      <c r="F25" s="265">
        <f t="shared" si="3"/>
        <v>0</v>
      </c>
      <c r="G25" s="265">
        <f t="shared" si="3"/>
        <v>0</v>
      </c>
      <c r="H25" s="265">
        <f t="shared" si="3"/>
        <v>0</v>
      </c>
      <c r="I25" s="265">
        <f t="shared" si="3"/>
        <v>0</v>
      </c>
      <c r="J25" s="265">
        <f t="shared" si="3"/>
        <v>0</v>
      </c>
      <c r="K25" s="288">
        <f t="shared" si="3"/>
        <v>0</v>
      </c>
      <c r="L25" s="265">
        <f t="shared" si="3"/>
        <v>481566</v>
      </c>
    </row>
    <row r="26" spans="1:12" ht="15.75" customHeight="1">
      <c r="A26" s="258" t="s">
        <v>281</v>
      </c>
      <c r="B26" s="259" t="s">
        <v>247</v>
      </c>
      <c r="C26" s="260" t="s">
        <v>237</v>
      </c>
      <c r="D26" s="261">
        <f>15050+14300+10950+10950+9340+7630+24970</f>
        <v>93190</v>
      </c>
      <c r="E26" s="261">
        <f>24490+11920+10950+11200</f>
        <v>58560</v>
      </c>
      <c r="F26" s="261">
        <v>12240</v>
      </c>
      <c r="G26" s="261">
        <v>0</v>
      </c>
      <c r="H26" s="261" t="s">
        <v>276</v>
      </c>
      <c r="I26" s="261">
        <f>11620+19410</f>
        <v>31030</v>
      </c>
      <c r="J26" s="261" t="s">
        <v>276</v>
      </c>
      <c r="K26" s="275" t="s">
        <v>276</v>
      </c>
      <c r="L26" s="261">
        <f aca="true" t="shared" si="4" ref="L26:L32">SUM(D26:K26)</f>
        <v>195020</v>
      </c>
    </row>
    <row r="27" spans="1:12" ht="15.75" customHeight="1">
      <c r="A27" s="262" t="s">
        <v>280</v>
      </c>
      <c r="B27" s="259" t="s">
        <v>248</v>
      </c>
      <c r="C27" s="260" t="s">
        <v>237</v>
      </c>
      <c r="D27" s="261">
        <f>700+4050+4050+5660+1710</f>
        <v>16170</v>
      </c>
      <c r="E27" s="261">
        <f>3080+4050+3800</f>
        <v>10930</v>
      </c>
      <c r="F27" s="261">
        <v>2760</v>
      </c>
      <c r="G27" s="261">
        <v>0</v>
      </c>
      <c r="H27" s="261" t="s">
        <v>276</v>
      </c>
      <c r="I27" s="261">
        <f>665</f>
        <v>665</v>
      </c>
      <c r="J27" s="261" t="s">
        <v>276</v>
      </c>
      <c r="K27" s="275" t="s">
        <v>276</v>
      </c>
      <c r="L27" s="261">
        <f t="shared" si="4"/>
        <v>30525</v>
      </c>
    </row>
    <row r="28" spans="1:12" ht="15.75" customHeight="1">
      <c r="A28" s="262"/>
      <c r="B28" s="259" t="s">
        <v>249</v>
      </c>
      <c r="C28" s="260" t="s">
        <v>237</v>
      </c>
      <c r="D28" s="261">
        <v>3500</v>
      </c>
      <c r="E28" s="261" t="s">
        <v>276</v>
      </c>
      <c r="F28" s="261" t="s">
        <v>276</v>
      </c>
      <c r="G28" s="261">
        <v>0</v>
      </c>
      <c r="H28" s="261" t="s">
        <v>276</v>
      </c>
      <c r="I28" s="261" t="s">
        <v>276</v>
      </c>
      <c r="J28" s="261" t="s">
        <v>276</v>
      </c>
      <c r="K28" s="275" t="s">
        <v>276</v>
      </c>
      <c r="L28" s="261">
        <f t="shared" si="4"/>
        <v>3500</v>
      </c>
    </row>
    <row r="29" spans="1:12" ht="15.75" customHeight="1">
      <c r="A29" s="262"/>
      <c r="B29" s="259" t="s">
        <v>250</v>
      </c>
      <c r="C29" s="260" t="s">
        <v>237</v>
      </c>
      <c r="D29" s="261">
        <v>9710</v>
      </c>
      <c r="E29" s="261" t="s">
        <v>276</v>
      </c>
      <c r="F29" s="261" t="s">
        <v>276</v>
      </c>
      <c r="G29" s="261">
        <v>0</v>
      </c>
      <c r="H29" s="261" t="s">
        <v>276</v>
      </c>
      <c r="I29" s="261" t="s">
        <v>276</v>
      </c>
      <c r="J29" s="261" t="s">
        <v>276</v>
      </c>
      <c r="K29" s="275" t="s">
        <v>276</v>
      </c>
      <c r="L29" s="261">
        <f t="shared" si="4"/>
        <v>9710</v>
      </c>
    </row>
    <row r="30" spans="1:12" ht="15.75" customHeight="1">
      <c r="A30" s="262"/>
      <c r="B30" s="259" t="s">
        <v>251</v>
      </c>
      <c r="C30" s="260" t="s">
        <v>237</v>
      </c>
      <c r="D30" s="261">
        <v>1500</v>
      </c>
      <c r="E30" s="261" t="s">
        <v>276</v>
      </c>
      <c r="F30" s="261" t="s">
        <v>276</v>
      </c>
      <c r="G30" s="261">
        <v>0</v>
      </c>
      <c r="H30" s="261" t="s">
        <v>276</v>
      </c>
      <c r="I30" s="261" t="s">
        <v>276</v>
      </c>
      <c r="J30" s="261" t="s">
        <v>276</v>
      </c>
      <c r="K30" s="275" t="s">
        <v>276</v>
      </c>
      <c r="L30" s="261">
        <f t="shared" si="4"/>
        <v>1500</v>
      </c>
    </row>
    <row r="31" spans="1:12" ht="15.75" customHeight="1">
      <c r="A31" s="262"/>
      <c r="B31" s="259" t="s">
        <v>252</v>
      </c>
      <c r="C31" s="260" t="s">
        <v>237</v>
      </c>
      <c r="D31" s="261">
        <v>6530</v>
      </c>
      <c r="E31" s="261">
        <f>7950+5340</f>
        <v>13290</v>
      </c>
      <c r="F31" s="261">
        <f>9140+5340+5340</f>
        <v>19820</v>
      </c>
      <c r="G31" s="261">
        <v>0</v>
      </c>
      <c r="H31" s="261">
        <v>5340</v>
      </c>
      <c r="I31" s="261">
        <f>5340+7050</f>
        <v>12390</v>
      </c>
      <c r="J31" s="261">
        <v>0</v>
      </c>
      <c r="K31" s="275">
        <v>0</v>
      </c>
      <c r="L31" s="261">
        <f t="shared" si="4"/>
        <v>57370</v>
      </c>
    </row>
    <row r="32" spans="1:12" ht="15.75" customHeight="1">
      <c r="A32" s="262"/>
      <c r="B32" s="259" t="s">
        <v>253</v>
      </c>
      <c r="C32" s="260" t="s">
        <v>237</v>
      </c>
      <c r="D32" s="261">
        <v>2470</v>
      </c>
      <c r="E32" s="261">
        <f>1500+3660</f>
        <v>5160</v>
      </c>
      <c r="F32" s="261">
        <f>3660+5860+3660</f>
        <v>13180</v>
      </c>
      <c r="G32" s="261">
        <v>0</v>
      </c>
      <c r="H32" s="261">
        <v>3660</v>
      </c>
      <c r="I32" s="261">
        <f>3660+1950</f>
        <v>5610</v>
      </c>
      <c r="J32" s="261">
        <v>0</v>
      </c>
      <c r="K32" s="275">
        <v>0</v>
      </c>
      <c r="L32" s="261">
        <f t="shared" si="4"/>
        <v>30080</v>
      </c>
    </row>
    <row r="33" spans="1:12" ht="15.75" customHeight="1">
      <c r="A33" s="262"/>
      <c r="B33" s="344" t="s">
        <v>389</v>
      </c>
      <c r="C33" s="345"/>
      <c r="D33" s="261">
        <f>SUM(D26:D32)</f>
        <v>133070</v>
      </c>
      <c r="E33" s="261">
        <f>SUM(E26:E32)</f>
        <v>87940</v>
      </c>
      <c r="F33" s="261">
        <f>SUM(F26:F32)</f>
        <v>48000</v>
      </c>
      <c r="G33" s="261">
        <v>0</v>
      </c>
      <c r="H33" s="261">
        <f>SUM(H31:H32)</f>
        <v>9000</v>
      </c>
      <c r="I33" s="261">
        <f>SUM(I26:I32)</f>
        <v>49695</v>
      </c>
      <c r="J33" s="261">
        <v>0</v>
      </c>
      <c r="K33" s="275">
        <v>0</v>
      </c>
      <c r="L33" s="261">
        <f>SUM(L26:L32)</f>
        <v>327705</v>
      </c>
    </row>
    <row r="34" spans="1:12" ht="15.75" customHeight="1">
      <c r="A34" s="264"/>
      <c r="B34" s="344" t="s">
        <v>390</v>
      </c>
      <c r="C34" s="345"/>
      <c r="D34" s="261">
        <f>SUM(D33+133070)</f>
        <v>266140</v>
      </c>
      <c r="E34" s="261">
        <f>SUM(E33+87940)</f>
        <v>175880</v>
      </c>
      <c r="F34" s="261">
        <f>SUM(F33+37800)</f>
        <v>85800</v>
      </c>
      <c r="G34" s="261">
        <f>SUM(G33)</f>
        <v>0</v>
      </c>
      <c r="H34" s="261">
        <f>SUM(H33+9000)</f>
        <v>18000</v>
      </c>
      <c r="I34" s="261">
        <f>SUM(I33+49695)</f>
        <v>99390</v>
      </c>
      <c r="J34" s="261">
        <f>SUM(J33)</f>
        <v>0</v>
      </c>
      <c r="K34" s="275">
        <f>SUM(K33)</f>
        <v>0</v>
      </c>
      <c r="L34" s="261">
        <f>SUM(L33+317505)</f>
        <v>645210</v>
      </c>
    </row>
    <row r="35" spans="1:12" ht="15.75" customHeight="1">
      <c r="A35" s="282"/>
      <c r="B35" s="283"/>
      <c r="C35" s="283"/>
      <c r="D35" s="284"/>
      <c r="E35" s="284"/>
      <c r="F35" s="284"/>
      <c r="G35" s="284"/>
      <c r="H35" s="284"/>
      <c r="I35" s="284"/>
      <c r="J35" s="284"/>
      <c r="K35" s="284"/>
      <c r="L35" s="284"/>
    </row>
    <row r="36" spans="1:12" ht="15.75" customHeight="1">
      <c r="A36" s="244"/>
      <c r="B36" s="245"/>
      <c r="C36" s="246" t="s">
        <v>246</v>
      </c>
      <c r="D36" s="354" t="s">
        <v>238</v>
      </c>
      <c r="E36" s="355"/>
      <c r="F36" s="349" t="s">
        <v>240</v>
      </c>
      <c r="G36" s="358"/>
      <c r="H36" s="358" t="s">
        <v>242</v>
      </c>
      <c r="I36" s="247" t="s">
        <v>256</v>
      </c>
      <c r="J36" s="247" t="s">
        <v>261</v>
      </c>
      <c r="K36" s="346" t="s">
        <v>263</v>
      </c>
      <c r="L36" s="351" t="s">
        <v>266</v>
      </c>
    </row>
    <row r="37" spans="1:12" ht="15.75" customHeight="1">
      <c r="A37" s="250"/>
      <c r="B37" s="251"/>
      <c r="C37" s="252"/>
      <c r="D37" s="356"/>
      <c r="E37" s="357"/>
      <c r="F37" s="350"/>
      <c r="G37" s="359"/>
      <c r="H37" s="359"/>
      <c r="I37" s="253" t="s">
        <v>255</v>
      </c>
      <c r="J37" s="253" t="s">
        <v>262</v>
      </c>
      <c r="K37" s="348"/>
      <c r="L37" s="352"/>
    </row>
    <row r="38" spans="1:12" ht="15.75" customHeight="1">
      <c r="A38" s="250" t="s">
        <v>245</v>
      </c>
      <c r="B38" s="251"/>
      <c r="C38" s="252"/>
      <c r="D38" s="247" t="s">
        <v>258</v>
      </c>
      <c r="E38" s="247" t="s">
        <v>260</v>
      </c>
      <c r="F38" s="254" t="s">
        <v>239</v>
      </c>
      <c r="G38" s="254" t="s">
        <v>379</v>
      </c>
      <c r="H38" s="247" t="s">
        <v>239</v>
      </c>
      <c r="I38" s="254" t="s">
        <v>239</v>
      </c>
      <c r="J38" s="247" t="s">
        <v>264</v>
      </c>
      <c r="K38" s="346" t="s">
        <v>51</v>
      </c>
      <c r="L38" s="352"/>
    </row>
    <row r="39" spans="1:12" ht="15.75" customHeight="1">
      <c r="A39" s="255"/>
      <c r="B39" s="256"/>
      <c r="C39" s="257"/>
      <c r="D39" s="253" t="s">
        <v>257</v>
      </c>
      <c r="E39" s="253" t="s">
        <v>259</v>
      </c>
      <c r="F39" s="253" t="s">
        <v>241</v>
      </c>
      <c r="G39" s="253" t="s">
        <v>380</v>
      </c>
      <c r="H39" s="253" t="s">
        <v>243</v>
      </c>
      <c r="I39" s="253" t="s">
        <v>244</v>
      </c>
      <c r="J39" s="253" t="s">
        <v>265</v>
      </c>
      <c r="K39" s="348"/>
      <c r="L39" s="353"/>
    </row>
    <row r="40" spans="1:12" ht="15.75" customHeight="1">
      <c r="A40" s="259" t="s">
        <v>23</v>
      </c>
      <c r="B40" s="271" t="s">
        <v>393</v>
      </c>
      <c r="C40" s="272" t="s">
        <v>237</v>
      </c>
      <c r="D40" s="268">
        <v>3200</v>
      </c>
      <c r="E40" s="268">
        <v>0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268">
        <v>0</v>
      </c>
      <c r="L40" s="268">
        <f>SUM(D40:K40)</f>
        <v>3200</v>
      </c>
    </row>
    <row r="41" spans="1:12" ht="15.75" customHeight="1">
      <c r="A41" s="262"/>
      <c r="B41" s="273" t="s">
        <v>378</v>
      </c>
      <c r="C41" s="272" t="s">
        <v>237</v>
      </c>
      <c r="D41" s="274">
        <v>0</v>
      </c>
      <c r="E41" s="274">
        <v>0</v>
      </c>
      <c r="F41" s="274">
        <v>0</v>
      </c>
      <c r="G41" s="274">
        <v>0</v>
      </c>
      <c r="H41" s="274">
        <v>0</v>
      </c>
      <c r="I41" s="274">
        <v>0</v>
      </c>
      <c r="J41" s="274">
        <v>0</v>
      </c>
      <c r="K41" s="274">
        <v>0</v>
      </c>
      <c r="L41" s="274">
        <f>SUM(D41:K41)</f>
        <v>0</v>
      </c>
    </row>
    <row r="42" spans="1:12" ht="15.75" customHeight="1">
      <c r="A42" s="262"/>
      <c r="B42" s="271" t="s">
        <v>254</v>
      </c>
      <c r="C42" s="260" t="s">
        <v>237</v>
      </c>
      <c r="D42" s="261">
        <f>2400+1600</f>
        <v>4000</v>
      </c>
      <c r="E42" s="261">
        <v>1950</v>
      </c>
      <c r="F42" s="261">
        <v>0</v>
      </c>
      <c r="G42" s="261">
        <v>0</v>
      </c>
      <c r="H42" s="261">
        <v>0</v>
      </c>
      <c r="I42" s="261">
        <f>3000+1950</f>
        <v>4950</v>
      </c>
      <c r="J42" s="261">
        <v>0</v>
      </c>
      <c r="K42" s="261">
        <v>0</v>
      </c>
      <c r="L42" s="274">
        <f>SUM(D42:K42)</f>
        <v>10900</v>
      </c>
    </row>
    <row r="43" spans="1:12" ht="15.75" customHeight="1">
      <c r="A43" s="262"/>
      <c r="B43" s="271" t="s">
        <v>267</v>
      </c>
      <c r="C43" s="260" t="s">
        <v>237</v>
      </c>
      <c r="D43" s="261">
        <f>1230+2125</f>
        <v>3355</v>
      </c>
      <c r="E43" s="261">
        <v>0</v>
      </c>
      <c r="F43" s="261">
        <v>0</v>
      </c>
      <c r="G43" s="261">
        <v>0</v>
      </c>
      <c r="H43" s="261">
        <v>0</v>
      </c>
      <c r="I43" s="263">
        <v>0</v>
      </c>
      <c r="J43" s="261">
        <v>0</v>
      </c>
      <c r="K43" s="261">
        <v>0</v>
      </c>
      <c r="L43" s="274">
        <f>SUM(D43:K43)</f>
        <v>3355</v>
      </c>
    </row>
    <row r="44" spans="1:12" ht="15.75" customHeight="1">
      <c r="A44" s="262"/>
      <c r="B44" s="271" t="s">
        <v>366</v>
      </c>
      <c r="C44" s="260" t="s">
        <v>237</v>
      </c>
      <c r="D44" s="261">
        <v>3404</v>
      </c>
      <c r="E44" s="261">
        <v>0</v>
      </c>
      <c r="F44" s="261">
        <v>0</v>
      </c>
      <c r="G44" s="261">
        <v>0</v>
      </c>
      <c r="H44" s="261">
        <v>0</v>
      </c>
      <c r="I44" s="263">
        <v>0</v>
      </c>
      <c r="J44" s="261">
        <v>0</v>
      </c>
      <c r="K44" s="261">
        <v>0</v>
      </c>
      <c r="L44" s="261">
        <f>SUM(D44:K44)</f>
        <v>3404</v>
      </c>
    </row>
    <row r="45" spans="1:12" ht="15.75" customHeight="1">
      <c r="A45" s="262"/>
      <c r="B45" s="344" t="s">
        <v>389</v>
      </c>
      <c r="C45" s="345"/>
      <c r="D45" s="261">
        <f>SUM(D40:D44)</f>
        <v>13959</v>
      </c>
      <c r="E45" s="261">
        <f>SUM(E40:E44)</f>
        <v>1950</v>
      </c>
      <c r="F45" s="261">
        <v>0</v>
      </c>
      <c r="G45" s="261">
        <v>0</v>
      </c>
      <c r="H45" s="261">
        <v>0</v>
      </c>
      <c r="I45" s="261">
        <f>SUM(I40:I44)</f>
        <v>4950</v>
      </c>
      <c r="J45" s="261">
        <v>0</v>
      </c>
      <c r="K45" s="261">
        <v>0</v>
      </c>
      <c r="L45" s="261">
        <f>SUM(L40:L44)</f>
        <v>20859</v>
      </c>
    </row>
    <row r="46" spans="1:12" ht="15.75" customHeight="1">
      <c r="A46" s="262"/>
      <c r="B46" s="344" t="s">
        <v>390</v>
      </c>
      <c r="C46" s="345"/>
      <c r="D46" s="261">
        <f>SUM(D45+3959.75)</f>
        <v>17918.75</v>
      </c>
      <c r="E46" s="261">
        <f>SUM(E45+10480)</f>
        <v>12430</v>
      </c>
      <c r="F46" s="261">
        <f>SUM(F45+640)</f>
        <v>640</v>
      </c>
      <c r="G46" s="261">
        <f>SUM(G45)</f>
        <v>0</v>
      </c>
      <c r="H46" s="261">
        <f>SUM(H45)</f>
        <v>0</v>
      </c>
      <c r="I46" s="261">
        <f>SUM(I45+1950)</f>
        <v>6900</v>
      </c>
      <c r="J46" s="261">
        <f>SUM(J45)</f>
        <v>0</v>
      </c>
      <c r="K46" s="261">
        <f>SUM(K45)</f>
        <v>0</v>
      </c>
      <c r="L46" s="261">
        <f>SUM(L45+17029.75)</f>
        <v>37888.75</v>
      </c>
    </row>
    <row r="47" spans="1:12" ht="15.75" customHeight="1">
      <c r="A47" s="258" t="s">
        <v>24</v>
      </c>
      <c r="B47" s="259" t="s">
        <v>268</v>
      </c>
      <c r="C47" s="260" t="s">
        <v>237</v>
      </c>
      <c r="D47" s="261">
        <f>5000+4500</f>
        <v>9500</v>
      </c>
      <c r="E47" s="263">
        <v>11800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0</v>
      </c>
      <c r="L47" s="261">
        <f>SUM(D47:K47)</f>
        <v>21300</v>
      </c>
    </row>
    <row r="48" spans="1:12" ht="15.75" customHeight="1">
      <c r="A48" s="258"/>
      <c r="B48" s="259" t="s">
        <v>365</v>
      </c>
      <c r="C48" s="260" t="s">
        <v>237</v>
      </c>
      <c r="D48" s="261">
        <v>750</v>
      </c>
      <c r="E48" s="263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f>SUM(D48:K48)</f>
        <v>750</v>
      </c>
    </row>
    <row r="49" spans="1:12" ht="15.75" customHeight="1">
      <c r="A49" s="262"/>
      <c r="B49" s="258" t="s">
        <v>394</v>
      </c>
      <c r="C49" s="267" t="s">
        <v>237</v>
      </c>
      <c r="D49" s="269">
        <v>2660</v>
      </c>
      <c r="E49" s="268">
        <v>0</v>
      </c>
      <c r="F49" s="268">
        <v>0</v>
      </c>
      <c r="G49" s="269">
        <v>0</v>
      </c>
      <c r="H49" s="268">
        <v>0</v>
      </c>
      <c r="I49" s="268">
        <v>2360</v>
      </c>
      <c r="J49" s="268">
        <f>1360+35000+5200+32200+7800+4000+9200</f>
        <v>94760</v>
      </c>
      <c r="K49" s="268">
        <v>0</v>
      </c>
      <c r="L49" s="268">
        <f>SUM(D49:K49)</f>
        <v>99780</v>
      </c>
    </row>
    <row r="50" spans="1:12" ht="15.75" customHeight="1">
      <c r="A50" s="262"/>
      <c r="B50" s="259" t="s">
        <v>269</v>
      </c>
      <c r="C50" s="260" t="s">
        <v>237</v>
      </c>
      <c r="D50" s="261">
        <v>0</v>
      </c>
      <c r="E50" s="261">
        <v>1200</v>
      </c>
      <c r="F50" s="261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  <c r="L50" s="261">
        <f>SUM(D50:K50)</f>
        <v>1200</v>
      </c>
    </row>
    <row r="51" spans="1:12" ht="15.75" customHeight="1">
      <c r="A51" s="262"/>
      <c r="B51" s="344" t="s">
        <v>389</v>
      </c>
      <c r="C51" s="345"/>
      <c r="D51" s="261">
        <f>SUM(D47:D50)</f>
        <v>12910</v>
      </c>
      <c r="E51" s="261">
        <f>SUM(E47:E50)</f>
        <v>13000</v>
      </c>
      <c r="F51" s="261">
        <v>0</v>
      </c>
      <c r="G51" s="261">
        <v>0</v>
      </c>
      <c r="H51" s="261">
        <f>SUM(H47:H50)</f>
        <v>0</v>
      </c>
      <c r="I51" s="261">
        <f>SUM(I47:I50)</f>
        <v>2360</v>
      </c>
      <c r="J51" s="261">
        <f>SUM(J47:J50)</f>
        <v>94760</v>
      </c>
      <c r="K51" s="261">
        <f>SUM(K47:K50)</f>
        <v>0</v>
      </c>
      <c r="L51" s="261">
        <f>SUM(L47:L50)</f>
        <v>123030</v>
      </c>
    </row>
    <row r="52" spans="1:12" ht="15.75" customHeight="1">
      <c r="A52" s="262"/>
      <c r="B52" s="344" t="s">
        <v>390</v>
      </c>
      <c r="C52" s="345"/>
      <c r="D52" s="261">
        <f>SUM(D51+14110)</f>
        <v>27020</v>
      </c>
      <c r="E52" s="261">
        <f>SUM(E51+0)</f>
        <v>13000</v>
      </c>
      <c r="F52" s="261">
        <f>SUM(F51)</f>
        <v>0</v>
      </c>
      <c r="G52" s="261">
        <f>SUM(G51)</f>
        <v>0</v>
      </c>
      <c r="H52" s="261">
        <f>SUM(H51)</f>
        <v>0</v>
      </c>
      <c r="I52" s="261">
        <f>SUM(I51+3500)</f>
        <v>5860</v>
      </c>
      <c r="J52" s="261">
        <f>SUM(J51+2800)</f>
        <v>97560</v>
      </c>
      <c r="K52" s="261">
        <f>SUM(K51)</f>
        <v>0</v>
      </c>
      <c r="L52" s="261">
        <f>SUM(L51+20410)</f>
        <v>143440</v>
      </c>
    </row>
    <row r="53" spans="1:12" ht="15.75" customHeight="1">
      <c r="A53" s="258" t="s">
        <v>25</v>
      </c>
      <c r="B53" s="259" t="s">
        <v>270</v>
      </c>
      <c r="C53" s="260" t="s">
        <v>237</v>
      </c>
      <c r="D53" s="261">
        <v>0</v>
      </c>
      <c r="E53" s="261">
        <v>4962</v>
      </c>
      <c r="F53" s="261">
        <v>0</v>
      </c>
      <c r="G53" s="261">
        <v>0</v>
      </c>
      <c r="H53" s="261">
        <v>0</v>
      </c>
      <c r="I53" s="261">
        <v>0</v>
      </c>
      <c r="J53" s="261">
        <v>0</v>
      </c>
      <c r="K53" s="261">
        <v>0</v>
      </c>
      <c r="L53" s="261">
        <f aca="true" t="shared" si="5" ref="L53:L64">SUM(D53:K53)</f>
        <v>4962</v>
      </c>
    </row>
    <row r="54" spans="1:12" ht="15.75" customHeight="1">
      <c r="A54" s="262"/>
      <c r="B54" s="259" t="s">
        <v>367</v>
      </c>
      <c r="C54" s="260" t="s">
        <v>237</v>
      </c>
      <c r="D54" s="261">
        <v>0</v>
      </c>
      <c r="E54" s="261">
        <v>4985</v>
      </c>
      <c r="F54" s="261">
        <v>0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61">
        <f t="shared" si="5"/>
        <v>4985</v>
      </c>
    </row>
    <row r="55" spans="1:12" ht="15.75" customHeight="1">
      <c r="A55" s="262"/>
      <c r="B55" s="259" t="s">
        <v>374</v>
      </c>
      <c r="C55" s="260" t="s">
        <v>237</v>
      </c>
      <c r="D55" s="261">
        <v>0</v>
      </c>
      <c r="E55" s="261">
        <v>0</v>
      </c>
      <c r="F55" s="261">
        <v>0</v>
      </c>
      <c r="G55" s="261">
        <v>0</v>
      </c>
      <c r="H55" s="261">
        <v>0</v>
      </c>
      <c r="I55" s="261">
        <v>0</v>
      </c>
      <c r="J55" s="261">
        <v>0</v>
      </c>
      <c r="K55" s="261">
        <v>0</v>
      </c>
      <c r="L55" s="261">
        <f t="shared" si="5"/>
        <v>0</v>
      </c>
    </row>
    <row r="56" spans="1:12" ht="15.75" customHeight="1">
      <c r="A56" s="262"/>
      <c r="B56" s="259" t="s">
        <v>375</v>
      </c>
      <c r="C56" s="260" t="s">
        <v>237</v>
      </c>
      <c r="D56" s="261">
        <v>0</v>
      </c>
      <c r="E56" s="261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61">
        <f t="shared" si="5"/>
        <v>0</v>
      </c>
    </row>
    <row r="57" spans="1:12" ht="15.75" customHeight="1">
      <c r="A57" s="262"/>
      <c r="B57" s="259" t="s">
        <v>216</v>
      </c>
      <c r="C57" s="260" t="s">
        <v>237</v>
      </c>
      <c r="D57" s="263">
        <f>6900+4700</f>
        <v>11600</v>
      </c>
      <c r="E57" s="261">
        <v>0</v>
      </c>
      <c r="F57" s="261">
        <v>0</v>
      </c>
      <c r="G57" s="261">
        <v>0</v>
      </c>
      <c r="H57" s="261">
        <v>0</v>
      </c>
      <c r="I57" s="261">
        <v>0</v>
      </c>
      <c r="J57" s="261">
        <v>0</v>
      </c>
      <c r="K57" s="261">
        <v>0</v>
      </c>
      <c r="L57" s="261">
        <f t="shared" si="5"/>
        <v>11600</v>
      </c>
    </row>
    <row r="58" spans="1:12" ht="15.75" customHeight="1">
      <c r="A58" s="262"/>
      <c r="B58" s="259" t="s">
        <v>368</v>
      </c>
      <c r="C58" s="260" t="s">
        <v>237</v>
      </c>
      <c r="D58" s="263">
        <v>18000</v>
      </c>
      <c r="E58" s="261">
        <v>0</v>
      </c>
      <c r="F58" s="261">
        <v>9400</v>
      </c>
      <c r="G58" s="261">
        <v>0</v>
      </c>
      <c r="H58" s="261">
        <v>0</v>
      </c>
      <c r="I58" s="261">
        <v>18600</v>
      </c>
      <c r="J58" s="261">
        <v>0</v>
      </c>
      <c r="K58" s="261">
        <v>0</v>
      </c>
      <c r="L58" s="261">
        <f t="shared" si="5"/>
        <v>46000</v>
      </c>
    </row>
    <row r="59" spans="1:12" ht="15.75" customHeight="1">
      <c r="A59" s="262"/>
      <c r="B59" s="259" t="s">
        <v>370</v>
      </c>
      <c r="C59" s="260" t="s">
        <v>237</v>
      </c>
      <c r="D59" s="263">
        <v>0</v>
      </c>
      <c r="E59" s="261">
        <v>0</v>
      </c>
      <c r="F59" s="261">
        <v>0</v>
      </c>
      <c r="G59" s="261">
        <v>0</v>
      </c>
      <c r="H59" s="261">
        <v>0</v>
      </c>
      <c r="I59" s="261">
        <v>0</v>
      </c>
      <c r="J59" s="261">
        <v>0</v>
      </c>
      <c r="K59" s="261">
        <v>0</v>
      </c>
      <c r="L59" s="261">
        <f t="shared" si="5"/>
        <v>0</v>
      </c>
    </row>
    <row r="60" spans="1:12" ht="15.75" customHeight="1">
      <c r="A60" s="262"/>
      <c r="B60" s="259" t="s">
        <v>371</v>
      </c>
      <c r="C60" s="260" t="s">
        <v>237</v>
      </c>
      <c r="D60" s="263">
        <v>0</v>
      </c>
      <c r="E60" s="261">
        <v>0</v>
      </c>
      <c r="F60" s="261">
        <v>0</v>
      </c>
      <c r="G60" s="261">
        <v>0</v>
      </c>
      <c r="H60" s="261">
        <v>0</v>
      </c>
      <c r="I60" s="261">
        <v>0</v>
      </c>
      <c r="J60" s="261">
        <v>0</v>
      </c>
      <c r="K60" s="261">
        <v>0</v>
      </c>
      <c r="L60" s="261">
        <f t="shared" si="5"/>
        <v>0</v>
      </c>
    </row>
    <row r="61" spans="1:12" ht="15.75" customHeight="1">
      <c r="A61" s="262"/>
      <c r="B61" s="259" t="s">
        <v>372</v>
      </c>
      <c r="C61" s="260" t="s">
        <v>237</v>
      </c>
      <c r="D61" s="263">
        <v>0</v>
      </c>
      <c r="E61" s="261">
        <v>0</v>
      </c>
      <c r="F61" s="261">
        <v>0</v>
      </c>
      <c r="G61" s="261">
        <v>0</v>
      </c>
      <c r="H61" s="261">
        <v>0</v>
      </c>
      <c r="I61" s="261">
        <v>0</v>
      </c>
      <c r="J61" s="261">
        <v>0</v>
      </c>
      <c r="K61" s="261">
        <v>0</v>
      </c>
      <c r="L61" s="261">
        <f t="shared" si="5"/>
        <v>0</v>
      </c>
    </row>
    <row r="62" spans="1:12" ht="15.75" customHeight="1">
      <c r="A62" s="262"/>
      <c r="B62" s="259" t="s">
        <v>373</v>
      </c>
      <c r="C62" s="260" t="s">
        <v>237</v>
      </c>
      <c r="D62" s="263">
        <v>0</v>
      </c>
      <c r="E62" s="261">
        <v>0</v>
      </c>
      <c r="F62" s="261">
        <v>0</v>
      </c>
      <c r="G62" s="261">
        <v>0</v>
      </c>
      <c r="H62" s="261">
        <v>0</v>
      </c>
      <c r="I62" s="261">
        <v>0</v>
      </c>
      <c r="J62" s="261">
        <v>0</v>
      </c>
      <c r="K62" s="261">
        <v>0</v>
      </c>
      <c r="L62" s="261">
        <f t="shared" si="5"/>
        <v>0</v>
      </c>
    </row>
    <row r="63" spans="1:12" ht="15.75" customHeight="1">
      <c r="A63" s="262"/>
      <c r="B63" s="259" t="s">
        <v>376</v>
      </c>
      <c r="C63" s="260" t="s">
        <v>237</v>
      </c>
      <c r="D63" s="263">
        <v>0</v>
      </c>
      <c r="E63" s="261">
        <v>0</v>
      </c>
      <c r="F63" s="261">
        <v>0</v>
      </c>
      <c r="G63" s="261">
        <v>0</v>
      </c>
      <c r="H63" s="261">
        <v>0</v>
      </c>
      <c r="I63" s="261">
        <v>0</v>
      </c>
      <c r="J63" s="261">
        <v>0</v>
      </c>
      <c r="K63" s="261">
        <v>0</v>
      </c>
      <c r="L63" s="261">
        <f t="shared" si="5"/>
        <v>0</v>
      </c>
    </row>
    <row r="64" spans="1:12" ht="15.75" customHeight="1">
      <c r="A64" s="262"/>
      <c r="B64" s="259" t="s">
        <v>377</v>
      </c>
      <c r="C64" s="260" t="s">
        <v>237</v>
      </c>
      <c r="D64" s="263">
        <v>0</v>
      </c>
      <c r="E64" s="261">
        <v>0</v>
      </c>
      <c r="F64" s="261">
        <v>0</v>
      </c>
      <c r="G64" s="261">
        <v>0</v>
      </c>
      <c r="H64" s="261">
        <v>0</v>
      </c>
      <c r="I64" s="261">
        <v>0</v>
      </c>
      <c r="J64" s="261">
        <v>0</v>
      </c>
      <c r="K64" s="261">
        <v>0</v>
      </c>
      <c r="L64" s="261">
        <f t="shared" si="5"/>
        <v>0</v>
      </c>
    </row>
    <row r="65" spans="1:12" ht="15.75" customHeight="1">
      <c r="A65" s="262"/>
      <c r="B65" s="344" t="s">
        <v>389</v>
      </c>
      <c r="C65" s="345"/>
      <c r="D65" s="261">
        <f aca="true" t="shared" si="6" ref="D65:L65">SUM(D53:D64)</f>
        <v>29600</v>
      </c>
      <c r="E65" s="261">
        <f t="shared" si="6"/>
        <v>9947</v>
      </c>
      <c r="F65" s="261">
        <f t="shared" si="6"/>
        <v>9400</v>
      </c>
      <c r="G65" s="261">
        <f t="shared" si="6"/>
        <v>0</v>
      </c>
      <c r="H65" s="261">
        <f t="shared" si="6"/>
        <v>0</v>
      </c>
      <c r="I65" s="261">
        <f t="shared" si="6"/>
        <v>18600</v>
      </c>
      <c r="J65" s="261">
        <f t="shared" si="6"/>
        <v>0</v>
      </c>
      <c r="K65" s="261">
        <f t="shared" si="6"/>
        <v>0</v>
      </c>
      <c r="L65" s="261">
        <f t="shared" si="6"/>
        <v>67547</v>
      </c>
    </row>
    <row r="66" spans="1:12" ht="15.75" customHeight="1">
      <c r="A66" s="264"/>
      <c r="B66" s="344" t="s">
        <v>390</v>
      </c>
      <c r="C66" s="345"/>
      <c r="D66" s="275">
        <f>SUM(D65+8837)</f>
        <v>38437</v>
      </c>
      <c r="E66" s="286">
        <f aca="true" t="shared" si="7" ref="E66:K66">SUM(E65)</f>
        <v>9947</v>
      </c>
      <c r="F66" s="275">
        <f t="shared" si="7"/>
        <v>9400</v>
      </c>
      <c r="G66" s="285">
        <f t="shared" si="7"/>
        <v>0</v>
      </c>
      <c r="H66" s="285">
        <f t="shared" si="7"/>
        <v>0</v>
      </c>
      <c r="I66" s="261">
        <f t="shared" si="7"/>
        <v>18600</v>
      </c>
      <c r="J66" s="261">
        <f t="shared" si="7"/>
        <v>0</v>
      </c>
      <c r="K66" s="261">
        <f t="shared" si="7"/>
        <v>0</v>
      </c>
      <c r="L66" s="261">
        <f>SUM(D66:K66)</f>
        <v>76384</v>
      </c>
    </row>
    <row r="67" spans="1:12" ht="15.75" customHeight="1">
      <c r="A67" s="282"/>
      <c r="B67" s="283"/>
      <c r="C67" s="283"/>
      <c r="D67" s="284"/>
      <c r="E67" s="284"/>
      <c r="F67" s="284"/>
      <c r="G67" s="284"/>
      <c r="H67" s="284"/>
      <c r="I67" s="284"/>
      <c r="J67" s="284"/>
      <c r="K67" s="284"/>
      <c r="L67" s="284"/>
    </row>
    <row r="68" spans="1:12" ht="15.75" customHeight="1">
      <c r="A68" s="282"/>
      <c r="B68" s="283"/>
      <c r="C68" s="283"/>
      <c r="D68" s="284"/>
      <c r="E68" s="284"/>
      <c r="F68" s="284"/>
      <c r="G68" s="284"/>
      <c r="H68" s="284"/>
      <c r="I68" s="284"/>
      <c r="J68" s="284"/>
      <c r="K68" s="284"/>
      <c r="L68" s="284"/>
    </row>
    <row r="69" spans="1:12" ht="15.75" customHeight="1">
      <c r="A69" s="282"/>
      <c r="B69" s="283"/>
      <c r="C69" s="283"/>
      <c r="D69" s="284"/>
      <c r="E69" s="284"/>
      <c r="F69" s="284"/>
      <c r="G69" s="284"/>
      <c r="H69" s="284"/>
      <c r="I69" s="284"/>
      <c r="J69" s="284"/>
      <c r="K69" s="284"/>
      <c r="L69" s="284"/>
    </row>
    <row r="70" spans="1:12" ht="15.75" customHeight="1">
      <c r="A70" s="282"/>
      <c r="B70" s="283"/>
      <c r="C70" s="283"/>
      <c r="D70" s="284"/>
      <c r="E70" s="284"/>
      <c r="F70" s="284"/>
      <c r="G70" s="284"/>
      <c r="H70" s="284"/>
      <c r="I70" s="284"/>
      <c r="J70" s="284"/>
      <c r="K70" s="284"/>
      <c r="L70" s="284"/>
    </row>
    <row r="71" spans="1:12" ht="15.75" customHeight="1">
      <c r="A71" s="244"/>
      <c r="B71" s="245"/>
      <c r="C71" s="246" t="s">
        <v>246</v>
      </c>
      <c r="D71" s="354" t="s">
        <v>238</v>
      </c>
      <c r="E71" s="355"/>
      <c r="F71" s="349" t="s">
        <v>240</v>
      </c>
      <c r="G71" s="358"/>
      <c r="H71" s="358" t="s">
        <v>242</v>
      </c>
      <c r="I71" s="247" t="s">
        <v>256</v>
      </c>
      <c r="J71" s="247" t="s">
        <v>261</v>
      </c>
      <c r="K71" s="346" t="s">
        <v>263</v>
      </c>
      <c r="L71" s="351" t="s">
        <v>266</v>
      </c>
    </row>
    <row r="72" spans="1:12" ht="15.75" customHeight="1">
      <c r="A72" s="250"/>
      <c r="B72" s="251"/>
      <c r="C72" s="252"/>
      <c r="D72" s="356"/>
      <c r="E72" s="357"/>
      <c r="F72" s="350"/>
      <c r="G72" s="359"/>
      <c r="H72" s="359"/>
      <c r="I72" s="253" t="s">
        <v>255</v>
      </c>
      <c r="J72" s="253" t="s">
        <v>262</v>
      </c>
      <c r="K72" s="348"/>
      <c r="L72" s="352"/>
    </row>
    <row r="73" spans="1:12" ht="15.75" customHeight="1">
      <c r="A73" s="250" t="s">
        <v>245</v>
      </c>
      <c r="B73" s="251"/>
      <c r="C73" s="252"/>
      <c r="D73" s="247" t="s">
        <v>258</v>
      </c>
      <c r="E73" s="247" t="s">
        <v>260</v>
      </c>
      <c r="F73" s="254" t="s">
        <v>239</v>
      </c>
      <c r="G73" s="254" t="s">
        <v>379</v>
      </c>
      <c r="H73" s="247" t="s">
        <v>239</v>
      </c>
      <c r="I73" s="254" t="s">
        <v>239</v>
      </c>
      <c r="J73" s="247" t="s">
        <v>264</v>
      </c>
      <c r="K73" s="346" t="s">
        <v>51</v>
      </c>
      <c r="L73" s="352"/>
    </row>
    <row r="74" spans="1:12" ht="15.75" customHeight="1">
      <c r="A74" s="255"/>
      <c r="B74" s="256"/>
      <c r="C74" s="257"/>
      <c r="D74" s="253" t="s">
        <v>257</v>
      </c>
      <c r="E74" s="253" t="s">
        <v>259</v>
      </c>
      <c r="F74" s="253" t="s">
        <v>241</v>
      </c>
      <c r="G74" s="253" t="s">
        <v>380</v>
      </c>
      <c r="H74" s="253" t="s">
        <v>243</v>
      </c>
      <c r="I74" s="253" t="s">
        <v>244</v>
      </c>
      <c r="J74" s="253" t="s">
        <v>265</v>
      </c>
      <c r="K74" s="348"/>
      <c r="L74" s="353"/>
    </row>
    <row r="75" spans="1:12" ht="15.75" customHeight="1">
      <c r="A75" s="258" t="s">
        <v>26</v>
      </c>
      <c r="B75" s="259" t="s">
        <v>271</v>
      </c>
      <c r="C75" s="260" t="s">
        <v>237</v>
      </c>
      <c r="D75" s="261">
        <v>0</v>
      </c>
      <c r="E75" s="261">
        <v>0</v>
      </c>
      <c r="F75" s="261">
        <v>0</v>
      </c>
      <c r="G75" s="261">
        <v>0</v>
      </c>
      <c r="H75" s="261">
        <v>0</v>
      </c>
      <c r="I75" s="261">
        <v>0</v>
      </c>
      <c r="J75" s="261">
        <v>0</v>
      </c>
      <c r="K75" s="261">
        <v>0</v>
      </c>
      <c r="L75" s="261">
        <f>SUM(D75:K75)</f>
        <v>0</v>
      </c>
    </row>
    <row r="76" spans="1:12" ht="15.75" customHeight="1">
      <c r="A76" s="262"/>
      <c r="B76" s="259" t="s">
        <v>272</v>
      </c>
      <c r="C76" s="260" t="s">
        <v>237</v>
      </c>
      <c r="D76" s="261">
        <v>140</v>
      </c>
      <c r="E76" s="261">
        <v>0</v>
      </c>
      <c r="F76" s="261">
        <v>50</v>
      </c>
      <c r="G76" s="261">
        <v>0</v>
      </c>
      <c r="H76" s="261">
        <v>0</v>
      </c>
      <c r="I76" s="261">
        <v>0</v>
      </c>
      <c r="J76" s="261">
        <v>0</v>
      </c>
      <c r="K76" s="261">
        <v>0</v>
      </c>
      <c r="L76" s="261">
        <f>SUM(D76:K76)</f>
        <v>190</v>
      </c>
    </row>
    <row r="77" spans="1:12" ht="15.75" customHeight="1">
      <c r="A77" s="262"/>
      <c r="B77" s="259" t="s">
        <v>273</v>
      </c>
      <c r="C77" s="260" t="s">
        <v>237</v>
      </c>
      <c r="D77" s="261">
        <v>1001.52</v>
      </c>
      <c r="E77" s="261">
        <v>0</v>
      </c>
      <c r="F77" s="261">
        <v>642</v>
      </c>
      <c r="G77" s="261">
        <v>0</v>
      </c>
      <c r="H77" s="261">
        <v>0</v>
      </c>
      <c r="I77" s="261">
        <v>0</v>
      </c>
      <c r="J77" s="261">
        <v>0</v>
      </c>
      <c r="K77" s="261">
        <v>0</v>
      </c>
      <c r="L77" s="261">
        <f>SUM(D77:K77)</f>
        <v>1643.52</v>
      </c>
    </row>
    <row r="78" spans="1:12" ht="15.75" customHeight="1">
      <c r="A78" s="262"/>
      <c r="B78" s="258" t="s">
        <v>302</v>
      </c>
      <c r="C78" s="260" t="s">
        <v>237</v>
      </c>
      <c r="D78" s="261">
        <v>0</v>
      </c>
      <c r="E78" s="261">
        <v>0</v>
      </c>
      <c r="F78" s="261">
        <v>0</v>
      </c>
      <c r="G78" s="261">
        <v>0</v>
      </c>
      <c r="H78" s="261">
        <v>0</v>
      </c>
      <c r="I78" s="261">
        <v>0</v>
      </c>
      <c r="J78" s="261">
        <v>0</v>
      </c>
      <c r="K78" s="261">
        <v>0</v>
      </c>
      <c r="L78" s="261">
        <f>SUM(D78:K78)</f>
        <v>0</v>
      </c>
    </row>
    <row r="79" spans="1:12" ht="15.75" customHeight="1">
      <c r="A79" s="262"/>
      <c r="B79" s="259" t="s">
        <v>274</v>
      </c>
      <c r="C79" s="260" t="s">
        <v>237</v>
      </c>
      <c r="D79" s="261">
        <v>5339.3</v>
      </c>
      <c r="E79" s="261">
        <v>0</v>
      </c>
      <c r="F79" s="261">
        <v>1701.3</v>
      </c>
      <c r="G79" s="261">
        <v>0</v>
      </c>
      <c r="H79" s="261">
        <v>0</v>
      </c>
      <c r="I79" s="261">
        <v>0</v>
      </c>
      <c r="J79" s="261">
        <v>0</v>
      </c>
      <c r="K79" s="261">
        <v>0</v>
      </c>
      <c r="L79" s="261">
        <f>SUM(D79:K79)</f>
        <v>7040.6</v>
      </c>
    </row>
    <row r="80" spans="1:12" ht="15.75" customHeight="1">
      <c r="A80" s="262"/>
      <c r="B80" s="344" t="s">
        <v>389</v>
      </c>
      <c r="C80" s="345"/>
      <c r="D80" s="261">
        <f aca="true" t="shared" si="8" ref="D80:L80">SUM(D75:D79)</f>
        <v>6480.82</v>
      </c>
      <c r="E80" s="261">
        <f t="shared" si="8"/>
        <v>0</v>
      </c>
      <c r="F80" s="261">
        <f t="shared" si="8"/>
        <v>2393.3</v>
      </c>
      <c r="G80" s="261">
        <f t="shared" si="8"/>
        <v>0</v>
      </c>
      <c r="H80" s="261">
        <f t="shared" si="8"/>
        <v>0</v>
      </c>
      <c r="I80" s="261">
        <f t="shared" si="8"/>
        <v>0</v>
      </c>
      <c r="J80" s="261">
        <f t="shared" si="8"/>
        <v>0</v>
      </c>
      <c r="K80" s="261">
        <f t="shared" si="8"/>
        <v>0</v>
      </c>
      <c r="L80" s="261">
        <f t="shared" si="8"/>
        <v>8874.12</v>
      </c>
    </row>
    <row r="81" spans="1:12" ht="15.75" customHeight="1">
      <c r="A81" s="262"/>
      <c r="B81" s="344" t="s">
        <v>390</v>
      </c>
      <c r="C81" s="345"/>
      <c r="D81" s="261">
        <f>SUM(D80+35556.87)</f>
        <v>42037.69</v>
      </c>
      <c r="E81" s="261">
        <f>SUM(E80)</f>
        <v>0</v>
      </c>
      <c r="F81" s="261">
        <f>SUM(F80+1630.02)</f>
        <v>4023.32</v>
      </c>
      <c r="G81" s="261">
        <f>SUM(G80)</f>
        <v>0</v>
      </c>
      <c r="H81" s="261">
        <f>SUM(H80)</f>
        <v>0</v>
      </c>
      <c r="I81" s="261">
        <f>SUM(I80)</f>
        <v>0</v>
      </c>
      <c r="J81" s="261">
        <f>SUM(J80)</f>
        <v>0</v>
      </c>
      <c r="K81" s="261">
        <f>SUM(K80)</f>
        <v>0</v>
      </c>
      <c r="L81" s="261">
        <f>SUM(D81:K81)</f>
        <v>46061.01</v>
      </c>
    </row>
    <row r="82" spans="1:12" ht="15.75" customHeight="1">
      <c r="A82" s="259" t="s">
        <v>76</v>
      </c>
      <c r="B82" s="276" t="s">
        <v>303</v>
      </c>
      <c r="C82" s="260" t="s">
        <v>237</v>
      </c>
      <c r="D82" s="261">
        <v>0</v>
      </c>
      <c r="E82" s="261">
        <v>0</v>
      </c>
      <c r="F82" s="261">
        <v>0</v>
      </c>
      <c r="G82" s="261">
        <v>0</v>
      </c>
      <c r="H82" s="261">
        <v>0</v>
      </c>
      <c r="I82" s="261">
        <v>0</v>
      </c>
      <c r="J82" s="261">
        <v>0</v>
      </c>
      <c r="K82" s="261">
        <v>0</v>
      </c>
      <c r="L82" s="261">
        <f aca="true" t="shared" si="9" ref="L82:L89">SUM(D82:K82)</f>
        <v>0</v>
      </c>
    </row>
    <row r="83" spans="1:12" ht="15.75" customHeight="1">
      <c r="A83" s="262"/>
      <c r="B83" s="276" t="s">
        <v>382</v>
      </c>
      <c r="C83" s="260" t="s">
        <v>237</v>
      </c>
      <c r="D83" s="261">
        <v>0</v>
      </c>
      <c r="E83" s="261">
        <v>0</v>
      </c>
      <c r="F83" s="261">
        <v>0</v>
      </c>
      <c r="G83" s="261">
        <v>0</v>
      </c>
      <c r="H83" s="261">
        <v>0</v>
      </c>
      <c r="I83" s="261">
        <v>0</v>
      </c>
      <c r="J83" s="261">
        <v>0</v>
      </c>
      <c r="K83" s="261">
        <v>0</v>
      </c>
      <c r="L83" s="261">
        <f t="shared" si="9"/>
        <v>0</v>
      </c>
    </row>
    <row r="84" spans="1:12" ht="15.75" customHeight="1">
      <c r="A84" s="262"/>
      <c r="B84" s="276" t="s">
        <v>381</v>
      </c>
      <c r="C84" s="260" t="s">
        <v>237</v>
      </c>
      <c r="D84" s="261">
        <v>0</v>
      </c>
      <c r="E84" s="261">
        <v>0</v>
      </c>
      <c r="F84" s="261">
        <v>0</v>
      </c>
      <c r="G84" s="261">
        <v>0</v>
      </c>
      <c r="H84" s="261">
        <v>0</v>
      </c>
      <c r="I84" s="261">
        <v>0</v>
      </c>
      <c r="J84" s="261">
        <v>0</v>
      </c>
      <c r="K84" s="261">
        <v>0</v>
      </c>
      <c r="L84" s="261">
        <f t="shared" si="9"/>
        <v>0</v>
      </c>
    </row>
    <row r="85" spans="1:12" ht="15.75" customHeight="1">
      <c r="A85" s="262"/>
      <c r="B85" s="276" t="s">
        <v>308</v>
      </c>
      <c r="C85" s="260" t="s">
        <v>237</v>
      </c>
      <c r="D85" s="261">
        <v>0</v>
      </c>
      <c r="E85" s="261">
        <v>0</v>
      </c>
      <c r="F85" s="261">
        <v>0</v>
      </c>
      <c r="G85" s="261">
        <v>0</v>
      </c>
      <c r="H85" s="261">
        <v>0</v>
      </c>
      <c r="I85" s="261">
        <v>0</v>
      </c>
      <c r="J85" s="261">
        <v>0</v>
      </c>
      <c r="K85" s="261">
        <v>0</v>
      </c>
      <c r="L85" s="261">
        <f t="shared" si="9"/>
        <v>0</v>
      </c>
    </row>
    <row r="86" spans="1:12" ht="15.75" customHeight="1">
      <c r="A86" s="262"/>
      <c r="B86" s="276" t="s">
        <v>383</v>
      </c>
      <c r="C86" s="260" t="s">
        <v>237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  <c r="I86" s="261">
        <v>0</v>
      </c>
      <c r="J86" s="261">
        <v>0</v>
      </c>
      <c r="K86" s="261">
        <v>0</v>
      </c>
      <c r="L86" s="261">
        <f t="shared" si="9"/>
        <v>0</v>
      </c>
    </row>
    <row r="87" spans="1:12" ht="15.75" customHeight="1">
      <c r="A87" s="262"/>
      <c r="B87" s="276" t="s">
        <v>305</v>
      </c>
      <c r="C87" s="260" t="s">
        <v>237</v>
      </c>
      <c r="D87" s="261">
        <v>0</v>
      </c>
      <c r="E87" s="261">
        <v>0</v>
      </c>
      <c r="F87" s="261">
        <v>0</v>
      </c>
      <c r="G87" s="261">
        <v>0</v>
      </c>
      <c r="H87" s="261">
        <v>0</v>
      </c>
      <c r="I87" s="261">
        <v>0</v>
      </c>
      <c r="J87" s="261">
        <v>0</v>
      </c>
      <c r="K87" s="261">
        <v>0</v>
      </c>
      <c r="L87" s="261">
        <f t="shared" si="9"/>
        <v>0</v>
      </c>
    </row>
    <row r="88" spans="1:12" ht="15.75" customHeight="1">
      <c r="A88" s="262"/>
      <c r="B88" s="276" t="s">
        <v>384</v>
      </c>
      <c r="C88" s="260" t="s">
        <v>237</v>
      </c>
      <c r="D88" s="261">
        <v>0</v>
      </c>
      <c r="E88" s="261">
        <v>0</v>
      </c>
      <c r="F88" s="261">
        <v>0</v>
      </c>
      <c r="G88" s="261">
        <v>0</v>
      </c>
      <c r="H88" s="261">
        <v>0</v>
      </c>
      <c r="I88" s="261">
        <v>0</v>
      </c>
      <c r="J88" s="261">
        <v>0</v>
      </c>
      <c r="K88" s="261">
        <v>0</v>
      </c>
      <c r="L88" s="261">
        <f t="shared" si="9"/>
        <v>0</v>
      </c>
    </row>
    <row r="89" spans="1:12" ht="15.75" customHeight="1">
      <c r="A89" s="262"/>
      <c r="B89" s="259" t="s">
        <v>275</v>
      </c>
      <c r="C89" s="260" t="s">
        <v>237</v>
      </c>
      <c r="D89" s="261">
        <v>0</v>
      </c>
      <c r="E89" s="261">
        <v>0</v>
      </c>
      <c r="F89" s="261">
        <v>20000</v>
      </c>
      <c r="G89" s="261">
        <v>0</v>
      </c>
      <c r="H89" s="261">
        <v>0</v>
      </c>
      <c r="I89" s="261">
        <v>0</v>
      </c>
      <c r="J89" s="261">
        <v>0</v>
      </c>
      <c r="K89" s="261">
        <v>0</v>
      </c>
      <c r="L89" s="261">
        <f t="shared" si="9"/>
        <v>20000</v>
      </c>
    </row>
    <row r="90" spans="1:12" ht="15.75" customHeight="1">
      <c r="A90" s="262"/>
      <c r="B90" s="344" t="s">
        <v>389</v>
      </c>
      <c r="C90" s="345"/>
      <c r="D90" s="261">
        <f aca="true" t="shared" si="10" ref="D90:L90">SUM(D82:D89)</f>
        <v>0</v>
      </c>
      <c r="E90" s="261">
        <f t="shared" si="10"/>
        <v>0</v>
      </c>
      <c r="F90" s="261">
        <f t="shared" si="10"/>
        <v>20000</v>
      </c>
      <c r="G90" s="261">
        <f t="shared" si="10"/>
        <v>0</v>
      </c>
      <c r="H90" s="261">
        <f t="shared" si="10"/>
        <v>0</v>
      </c>
      <c r="I90" s="261">
        <f t="shared" si="10"/>
        <v>0</v>
      </c>
      <c r="J90" s="261">
        <f t="shared" si="10"/>
        <v>0</v>
      </c>
      <c r="K90" s="261">
        <f t="shared" si="10"/>
        <v>0</v>
      </c>
      <c r="L90" s="261">
        <f t="shared" si="10"/>
        <v>20000</v>
      </c>
    </row>
    <row r="91" spans="1:12" ht="15.75" customHeight="1">
      <c r="A91" s="262"/>
      <c r="B91" s="344" t="s">
        <v>390</v>
      </c>
      <c r="C91" s="345"/>
      <c r="D91" s="261">
        <f>SUM(D90+8939.85)</f>
        <v>8939.85</v>
      </c>
      <c r="E91" s="261">
        <f aca="true" t="shared" si="11" ref="E91:K91">SUM(E90)</f>
        <v>0</v>
      </c>
      <c r="F91" s="261">
        <f t="shared" si="11"/>
        <v>20000</v>
      </c>
      <c r="G91" s="261">
        <f t="shared" si="11"/>
        <v>0</v>
      </c>
      <c r="H91" s="261">
        <f t="shared" si="11"/>
        <v>0</v>
      </c>
      <c r="I91" s="261">
        <f t="shared" si="11"/>
        <v>0</v>
      </c>
      <c r="J91" s="261">
        <f t="shared" si="11"/>
        <v>0</v>
      </c>
      <c r="K91" s="261">
        <f t="shared" si="11"/>
        <v>0</v>
      </c>
      <c r="L91" s="261">
        <f>SUM(D91:K91)</f>
        <v>28939.85</v>
      </c>
    </row>
    <row r="92" spans="1:12" ht="15.75" customHeight="1">
      <c r="A92" s="258" t="s">
        <v>310</v>
      </c>
      <c r="B92" s="276" t="s">
        <v>312</v>
      </c>
      <c r="C92" s="260" t="s">
        <v>237</v>
      </c>
      <c r="D92" s="261">
        <v>0</v>
      </c>
      <c r="E92" s="261">
        <v>0</v>
      </c>
      <c r="F92" s="261">
        <v>0</v>
      </c>
      <c r="G92" s="261">
        <v>0</v>
      </c>
      <c r="H92" s="261">
        <v>0</v>
      </c>
      <c r="I92" s="261">
        <v>0</v>
      </c>
      <c r="J92" s="261">
        <v>0</v>
      </c>
      <c r="K92" s="261">
        <v>0</v>
      </c>
      <c r="L92" s="261">
        <f>SUM(D92:K92)</f>
        <v>0</v>
      </c>
    </row>
    <row r="93" spans="1:12" ht="15.75" customHeight="1">
      <c r="A93" s="262" t="s">
        <v>311</v>
      </c>
      <c r="B93" s="276" t="s">
        <v>385</v>
      </c>
      <c r="C93" s="260" t="s">
        <v>237</v>
      </c>
      <c r="D93" s="261">
        <v>0</v>
      </c>
      <c r="E93" s="261">
        <v>0</v>
      </c>
      <c r="F93" s="261">
        <v>0</v>
      </c>
      <c r="G93" s="261">
        <v>0</v>
      </c>
      <c r="H93" s="261">
        <v>0</v>
      </c>
      <c r="I93" s="261">
        <v>0</v>
      </c>
      <c r="J93" s="261">
        <v>0</v>
      </c>
      <c r="K93" s="261">
        <v>0</v>
      </c>
      <c r="L93" s="261">
        <f>SUM(D93:K93)</f>
        <v>0</v>
      </c>
    </row>
    <row r="94" spans="1:12" ht="15.75" customHeight="1">
      <c r="A94" s="264"/>
      <c r="B94" s="276" t="s">
        <v>315</v>
      </c>
      <c r="C94" s="260" t="s">
        <v>237</v>
      </c>
      <c r="D94" s="261">
        <v>0</v>
      </c>
      <c r="E94" s="261">
        <v>0</v>
      </c>
      <c r="F94" s="261">
        <v>0</v>
      </c>
      <c r="G94" s="261">
        <v>0</v>
      </c>
      <c r="H94" s="261">
        <v>0</v>
      </c>
      <c r="I94" s="261">
        <v>0</v>
      </c>
      <c r="J94" s="261">
        <v>0</v>
      </c>
      <c r="K94" s="261">
        <v>0</v>
      </c>
      <c r="L94" s="261">
        <f>SUM(K92:L94)</f>
        <v>0</v>
      </c>
    </row>
    <row r="95" spans="1:12" ht="15.75" customHeight="1">
      <c r="A95" s="262"/>
      <c r="B95" s="344" t="s">
        <v>389</v>
      </c>
      <c r="C95" s="345"/>
      <c r="D95" s="261">
        <f aca="true" t="shared" si="12" ref="D95:K95">SUM(D92:D94)</f>
        <v>0</v>
      </c>
      <c r="E95" s="261">
        <f t="shared" si="12"/>
        <v>0</v>
      </c>
      <c r="F95" s="261">
        <f t="shared" si="12"/>
        <v>0</v>
      </c>
      <c r="G95" s="261">
        <f t="shared" si="12"/>
        <v>0</v>
      </c>
      <c r="H95" s="261">
        <f t="shared" si="12"/>
        <v>0</v>
      </c>
      <c r="I95" s="261">
        <f t="shared" si="12"/>
        <v>0</v>
      </c>
      <c r="J95" s="261">
        <f t="shared" si="12"/>
        <v>0</v>
      </c>
      <c r="K95" s="261">
        <f t="shared" si="12"/>
        <v>0</v>
      </c>
      <c r="L95" s="261">
        <f>SUM(D95:K95)</f>
        <v>0</v>
      </c>
    </row>
    <row r="96" spans="1:12" ht="15.75" customHeight="1">
      <c r="A96" s="262"/>
      <c r="B96" s="344" t="s">
        <v>390</v>
      </c>
      <c r="C96" s="345"/>
      <c r="D96" s="261">
        <f aca="true" t="shared" si="13" ref="D96:K96">SUM(D95)</f>
        <v>0</v>
      </c>
      <c r="E96" s="261">
        <f t="shared" si="13"/>
        <v>0</v>
      </c>
      <c r="F96" s="261">
        <f t="shared" si="13"/>
        <v>0</v>
      </c>
      <c r="G96" s="261">
        <f t="shared" si="13"/>
        <v>0</v>
      </c>
      <c r="H96" s="261">
        <f t="shared" si="13"/>
        <v>0</v>
      </c>
      <c r="I96" s="261">
        <f t="shared" si="13"/>
        <v>0</v>
      </c>
      <c r="J96" s="261">
        <f t="shared" si="13"/>
        <v>0</v>
      </c>
      <c r="K96" s="261">
        <f t="shared" si="13"/>
        <v>0</v>
      </c>
      <c r="L96" s="261">
        <f>SUM(D96:K96)</f>
        <v>0</v>
      </c>
    </row>
    <row r="97" spans="1:12" ht="15.75" customHeight="1">
      <c r="A97" s="262" t="s">
        <v>386</v>
      </c>
      <c r="B97" s="276" t="s">
        <v>387</v>
      </c>
      <c r="C97" s="260" t="s">
        <v>237</v>
      </c>
      <c r="D97" s="261">
        <v>0</v>
      </c>
      <c r="E97" s="261">
        <v>0</v>
      </c>
      <c r="F97" s="261">
        <v>0</v>
      </c>
      <c r="G97" s="261">
        <f>386100+182000+123500</f>
        <v>691600</v>
      </c>
      <c r="H97" s="261">
        <v>0</v>
      </c>
      <c r="I97" s="261">
        <v>0</v>
      </c>
      <c r="J97" s="261">
        <v>0</v>
      </c>
      <c r="K97" s="261">
        <v>0</v>
      </c>
      <c r="L97" s="261">
        <f>SUM(D97:K97)</f>
        <v>691600</v>
      </c>
    </row>
    <row r="98" spans="1:12" ht="15.75" customHeight="1">
      <c r="A98" s="262"/>
      <c r="B98" s="276" t="s">
        <v>403</v>
      </c>
      <c r="C98" s="260" t="s">
        <v>237</v>
      </c>
      <c r="D98" s="261">
        <v>0</v>
      </c>
      <c r="E98" s="261">
        <v>0</v>
      </c>
      <c r="F98" s="261">
        <v>0</v>
      </c>
      <c r="G98" s="261">
        <v>0</v>
      </c>
      <c r="H98" s="261">
        <v>0</v>
      </c>
      <c r="I98" s="261">
        <v>0</v>
      </c>
      <c r="J98" s="261">
        <v>0</v>
      </c>
      <c r="K98" s="261">
        <v>0</v>
      </c>
      <c r="L98" s="261">
        <v>0</v>
      </c>
    </row>
    <row r="99" spans="1:12" ht="15.75" customHeight="1">
      <c r="A99" s="262"/>
      <c r="B99" s="276" t="s">
        <v>388</v>
      </c>
      <c r="C99" s="260" t="s">
        <v>237</v>
      </c>
      <c r="D99" s="261">
        <v>0</v>
      </c>
      <c r="E99" s="261">
        <v>0</v>
      </c>
      <c r="F99" s="261">
        <v>0</v>
      </c>
      <c r="G99" s="261">
        <v>0</v>
      </c>
      <c r="H99" s="261">
        <v>0</v>
      </c>
      <c r="I99" s="261">
        <v>0</v>
      </c>
      <c r="J99" s="261">
        <v>0</v>
      </c>
      <c r="K99" s="261">
        <v>0</v>
      </c>
      <c r="L99" s="261">
        <f>SUM(D99:K99)</f>
        <v>0</v>
      </c>
    </row>
    <row r="100" spans="1:12" ht="15.75" customHeight="1">
      <c r="A100" s="262"/>
      <c r="B100" s="277"/>
      <c r="C100" s="270"/>
      <c r="D100" s="261"/>
      <c r="E100" s="261"/>
      <c r="F100" s="261"/>
      <c r="G100" s="261"/>
      <c r="H100" s="261"/>
      <c r="I100" s="261"/>
      <c r="J100" s="261"/>
      <c r="K100" s="261"/>
      <c r="L100" s="261"/>
    </row>
    <row r="101" spans="1:12" ht="15.75" customHeight="1">
      <c r="A101" s="262"/>
      <c r="B101" s="344" t="s">
        <v>389</v>
      </c>
      <c r="C101" s="345"/>
      <c r="D101" s="261">
        <f>SUM(D97:D100)</f>
        <v>0</v>
      </c>
      <c r="E101" s="261">
        <f>SUM(E97:E100)</f>
        <v>0</v>
      </c>
      <c r="F101" s="261">
        <f>SUM(D101:E101)</f>
        <v>0</v>
      </c>
      <c r="G101" s="261">
        <f>SUM(G97:G100)</f>
        <v>691600</v>
      </c>
      <c r="H101" s="261">
        <f>SUM(H97:H100)</f>
        <v>0</v>
      </c>
      <c r="I101" s="261">
        <f>SUM(I97:I99)</f>
        <v>0</v>
      </c>
      <c r="J101" s="261">
        <f>SUM(J97:J100)</f>
        <v>0</v>
      </c>
      <c r="K101" s="261">
        <f>SUM(K97:K100)</f>
        <v>0</v>
      </c>
      <c r="L101" s="261">
        <f>SUM(L97:L99)</f>
        <v>691600</v>
      </c>
    </row>
    <row r="102" spans="1:12" ht="15.75" customHeight="1">
      <c r="A102" s="264"/>
      <c r="B102" s="344" t="s">
        <v>390</v>
      </c>
      <c r="C102" s="345"/>
      <c r="D102" s="261">
        <f aca="true" t="shared" si="14" ref="D102:K102">SUM(D101)</f>
        <v>0</v>
      </c>
      <c r="E102" s="261">
        <f t="shared" si="14"/>
        <v>0</v>
      </c>
      <c r="F102" s="261">
        <f t="shared" si="14"/>
        <v>0</v>
      </c>
      <c r="G102" s="261">
        <f t="shared" si="14"/>
        <v>691600</v>
      </c>
      <c r="H102" s="261">
        <f t="shared" si="14"/>
        <v>0</v>
      </c>
      <c r="I102" s="261">
        <f t="shared" si="14"/>
        <v>0</v>
      </c>
      <c r="J102" s="261">
        <f t="shared" si="14"/>
        <v>0</v>
      </c>
      <c r="K102" s="261">
        <f t="shared" si="14"/>
        <v>0</v>
      </c>
      <c r="L102" s="261">
        <f>SUM(D102:K102)</f>
        <v>691600</v>
      </c>
    </row>
    <row r="103" spans="1:12" ht="15.75" customHeight="1">
      <c r="A103" s="282"/>
      <c r="B103" s="283"/>
      <c r="C103" s="283"/>
      <c r="D103" s="284"/>
      <c r="E103" s="284"/>
      <c r="F103" s="284"/>
      <c r="G103" s="284"/>
      <c r="H103" s="284"/>
      <c r="I103" s="284"/>
      <c r="J103" s="284"/>
      <c r="K103" s="284"/>
      <c r="L103" s="284"/>
    </row>
    <row r="104" spans="1:12" ht="15.75" customHeight="1">
      <c r="A104" s="282"/>
      <c r="B104" s="283"/>
      <c r="C104" s="283"/>
      <c r="D104" s="284"/>
      <c r="E104" s="284"/>
      <c r="F104" s="284"/>
      <c r="G104" s="284"/>
      <c r="H104" s="284"/>
      <c r="I104" s="284"/>
      <c r="J104" s="284"/>
      <c r="K104" s="284"/>
      <c r="L104" s="284"/>
    </row>
    <row r="105" spans="1:12" ht="15.75" customHeight="1">
      <c r="A105" s="282"/>
      <c r="B105" s="283"/>
      <c r="C105" s="283"/>
      <c r="D105" s="284"/>
      <c r="E105" s="284"/>
      <c r="F105" s="284"/>
      <c r="G105" s="284"/>
      <c r="H105" s="284"/>
      <c r="I105" s="284"/>
      <c r="J105" s="284"/>
      <c r="K105" s="284"/>
      <c r="L105" s="284"/>
    </row>
    <row r="106" spans="1:12" ht="15.75" customHeight="1">
      <c r="A106" s="244"/>
      <c r="B106" s="245"/>
      <c r="C106" s="246" t="s">
        <v>246</v>
      </c>
      <c r="D106" s="354" t="s">
        <v>238</v>
      </c>
      <c r="E106" s="355"/>
      <c r="F106" s="349" t="s">
        <v>240</v>
      </c>
      <c r="G106" s="358"/>
      <c r="H106" s="358" t="s">
        <v>242</v>
      </c>
      <c r="I106" s="247" t="s">
        <v>256</v>
      </c>
      <c r="J106" s="247" t="s">
        <v>261</v>
      </c>
      <c r="K106" s="346" t="s">
        <v>263</v>
      </c>
      <c r="L106" s="351" t="s">
        <v>266</v>
      </c>
    </row>
    <row r="107" spans="1:12" ht="15.75" customHeight="1">
      <c r="A107" s="250"/>
      <c r="B107" s="251"/>
      <c r="C107" s="252"/>
      <c r="D107" s="356"/>
      <c r="E107" s="357"/>
      <c r="F107" s="350"/>
      <c r="G107" s="359"/>
      <c r="H107" s="359"/>
      <c r="I107" s="253" t="s">
        <v>255</v>
      </c>
      <c r="J107" s="253" t="s">
        <v>262</v>
      </c>
      <c r="K107" s="348"/>
      <c r="L107" s="352"/>
    </row>
    <row r="108" spans="1:12" ht="15.75" customHeight="1">
      <c r="A108" s="250" t="s">
        <v>245</v>
      </c>
      <c r="B108" s="251"/>
      <c r="C108" s="252"/>
      <c r="D108" s="247" t="s">
        <v>258</v>
      </c>
      <c r="E108" s="247" t="s">
        <v>260</v>
      </c>
      <c r="F108" s="254" t="s">
        <v>239</v>
      </c>
      <c r="G108" s="254" t="s">
        <v>379</v>
      </c>
      <c r="H108" s="247" t="s">
        <v>239</v>
      </c>
      <c r="I108" s="254" t="s">
        <v>239</v>
      </c>
      <c r="J108" s="247" t="s">
        <v>264</v>
      </c>
      <c r="K108" s="346" t="s">
        <v>51</v>
      </c>
      <c r="L108" s="352"/>
    </row>
    <row r="109" spans="1:12" ht="15.75" customHeight="1">
      <c r="A109" s="255"/>
      <c r="B109" s="256"/>
      <c r="C109" s="257"/>
      <c r="D109" s="253" t="s">
        <v>257</v>
      </c>
      <c r="E109" s="253" t="s">
        <v>259</v>
      </c>
      <c r="F109" s="253" t="s">
        <v>241</v>
      </c>
      <c r="G109" s="253" t="s">
        <v>380</v>
      </c>
      <c r="H109" s="253" t="s">
        <v>243</v>
      </c>
      <c r="I109" s="253" t="s">
        <v>244</v>
      </c>
      <c r="J109" s="253" t="s">
        <v>265</v>
      </c>
      <c r="K109" s="348"/>
      <c r="L109" s="353"/>
    </row>
    <row r="110" spans="1:16" ht="15.75" customHeight="1">
      <c r="A110" s="262" t="s">
        <v>183</v>
      </c>
      <c r="B110" s="276" t="s">
        <v>395</v>
      </c>
      <c r="C110" s="260" t="s">
        <v>237</v>
      </c>
      <c r="D110" s="261">
        <v>0</v>
      </c>
      <c r="E110" s="261">
        <v>0</v>
      </c>
      <c r="F110" s="261">
        <v>0</v>
      </c>
      <c r="G110" s="261">
        <v>0</v>
      </c>
      <c r="H110" s="261">
        <v>0</v>
      </c>
      <c r="I110" s="261">
        <v>0</v>
      </c>
      <c r="J110" s="261">
        <v>0</v>
      </c>
      <c r="K110" s="261">
        <v>0</v>
      </c>
      <c r="L110" s="261">
        <f>SUM(D110:K110)</f>
        <v>0</v>
      </c>
      <c r="P110" s="243" t="s">
        <v>474</v>
      </c>
    </row>
    <row r="111" spans="1:12" ht="15.75" customHeight="1">
      <c r="A111" s="262"/>
      <c r="B111" s="276"/>
      <c r="C111" s="260"/>
      <c r="D111" s="261"/>
      <c r="E111" s="261"/>
      <c r="F111" s="261"/>
      <c r="G111" s="261"/>
      <c r="H111" s="261"/>
      <c r="I111" s="261"/>
      <c r="J111" s="261"/>
      <c r="K111" s="261"/>
      <c r="L111" s="261"/>
    </row>
    <row r="112" spans="1:12" ht="15.75" customHeight="1">
      <c r="A112" s="262"/>
      <c r="B112" s="344" t="s">
        <v>389</v>
      </c>
      <c r="C112" s="345"/>
      <c r="D112" s="261">
        <f>SUM(D110:D111)</f>
        <v>0</v>
      </c>
      <c r="E112" s="261">
        <f>SUM(E110:E111)</f>
        <v>0</v>
      </c>
      <c r="F112" s="261">
        <f>SUM(D112:E112)</f>
        <v>0</v>
      </c>
      <c r="G112" s="261">
        <f>SUM(G110:G111)</f>
        <v>0</v>
      </c>
      <c r="H112" s="261">
        <f>SUM(H110:H111)</f>
        <v>0</v>
      </c>
      <c r="I112" s="261">
        <f>SUM(G112:H112)</f>
        <v>0</v>
      </c>
      <c r="J112" s="261">
        <f>SUM(J110:J111)</f>
        <v>0</v>
      </c>
      <c r="K112" s="261">
        <f>SUM(K110:K111)</f>
        <v>0</v>
      </c>
      <c r="L112" s="261">
        <f>SUM(L110)</f>
        <v>0</v>
      </c>
    </row>
    <row r="113" spans="1:12" ht="15.75" customHeight="1">
      <c r="A113" s="264"/>
      <c r="B113" s="344" t="s">
        <v>390</v>
      </c>
      <c r="C113" s="345"/>
      <c r="D113" s="261">
        <f>SUM(D112)</f>
        <v>0</v>
      </c>
      <c r="E113" s="261">
        <f>SUM(E112)</f>
        <v>0</v>
      </c>
      <c r="F113" s="261">
        <f>SUM(D113:E113)</f>
        <v>0</v>
      </c>
      <c r="G113" s="261">
        <f>SUM(G112)</f>
        <v>0</v>
      </c>
      <c r="H113" s="261">
        <f>SUM(H112)</f>
        <v>0</v>
      </c>
      <c r="I113" s="261">
        <f>SUM(G113:H113)</f>
        <v>0</v>
      </c>
      <c r="J113" s="261">
        <f>SUM(J112)</f>
        <v>0</v>
      </c>
      <c r="K113" s="261">
        <f>SUM(K112)</f>
        <v>0</v>
      </c>
      <c r="L113" s="261">
        <f>SUM(L112)</f>
        <v>0</v>
      </c>
    </row>
    <row r="114" spans="1:12" ht="15.75" customHeight="1">
      <c r="A114" s="360" t="s">
        <v>396</v>
      </c>
      <c r="B114" s="360"/>
      <c r="C114" s="360"/>
      <c r="D114" s="261">
        <f>SUM(D13+D16+D24+D33+D45+D51+D65+D80+D95+D101+D113)</f>
        <v>677585.82</v>
      </c>
      <c r="E114" s="261">
        <f>SUM(E13+E16+E24+E33+E45+E51+E65+E80+E90+E95+E101+E112)</f>
        <v>112837</v>
      </c>
      <c r="F114" s="261">
        <f>SUM(F13+F16+F24+F33+F45+F51+F65+F80+F90+F95+F101+F112)</f>
        <v>79793.3</v>
      </c>
      <c r="G114" s="261">
        <f>SUM(G13+G16+G24+G33+G45+G51+G65+G80+G90+G95+G101+G112)</f>
        <v>691600</v>
      </c>
      <c r="H114" s="261">
        <f>SUM(H13+H16+H24+H33+H45+H51+H65+H80+H90+H95+H101+H112)</f>
        <v>9000</v>
      </c>
      <c r="I114" s="261">
        <f>SUM(I13+I16+I24+I33+I45+I51+I58+I65+I80+I90+I95+I101+I112)</f>
        <v>94205</v>
      </c>
      <c r="J114" s="248">
        <f>SUM(J13+J16+J24+J33+J45+J51+J65+J80+J90+J95+J101+J112)</f>
        <v>94760</v>
      </c>
      <c r="K114" s="248">
        <f>SUM(K13+K16+K24+K33+K45+K51+K65+K80+K90+K95+K101+K112)</f>
        <v>649356</v>
      </c>
      <c r="L114" s="248">
        <f>SUM(L13+L16+L24+L33+L45+L51+L65+L80+L90+L95+L101+L112)</f>
        <v>2390537.12</v>
      </c>
    </row>
    <row r="115" spans="1:12" ht="15.75" customHeight="1">
      <c r="A115" s="360" t="s">
        <v>397</v>
      </c>
      <c r="B115" s="360"/>
      <c r="C115" s="360"/>
      <c r="D115" s="261">
        <f>SUM(D14+D17+D25+D34+D46+D52+D66+D81+D91+D96+D102+D113)</f>
        <v>882059.2899999999</v>
      </c>
      <c r="E115" s="261">
        <f>SUM(E17+E13+E25+E34+E46+E52+E66+E81+E91+E96+E102+E113)</f>
        <v>211257</v>
      </c>
      <c r="F115" s="261">
        <f aca="true" t="shared" si="15" ref="F115:K115">SUM(F14+F17+F25+F34+F46+F52+F66+F81+F91+F96+F102+F113)</f>
        <v>119863.32</v>
      </c>
      <c r="G115" s="261">
        <f t="shared" si="15"/>
        <v>691600</v>
      </c>
      <c r="H115" s="261">
        <f t="shared" si="15"/>
        <v>18000</v>
      </c>
      <c r="I115" s="261">
        <f t="shared" si="15"/>
        <v>130750</v>
      </c>
      <c r="J115" s="248">
        <f t="shared" si="15"/>
        <v>97560</v>
      </c>
      <c r="K115" s="248">
        <f t="shared" si="15"/>
        <v>1396692</v>
      </c>
      <c r="L115" s="248">
        <f>SUM(D115:K115)</f>
        <v>3547781.6100000003</v>
      </c>
    </row>
    <row r="117" spans="1:3" ht="15.75" customHeight="1">
      <c r="A117" s="312" t="s">
        <v>398</v>
      </c>
      <c r="B117" s="312"/>
      <c r="C117" s="280">
        <v>1749337.12</v>
      </c>
    </row>
    <row r="118" spans="1:3" ht="15.75" customHeight="1">
      <c r="A118" s="243" t="s">
        <v>399</v>
      </c>
      <c r="C118" s="280">
        <v>641200</v>
      </c>
    </row>
    <row r="119" spans="1:3" ht="15.75" customHeight="1">
      <c r="A119" s="243" t="s">
        <v>57</v>
      </c>
      <c r="C119" s="281">
        <f>C117+C118</f>
        <v>2390537.12</v>
      </c>
    </row>
    <row r="120" ht="15.75" customHeight="1">
      <c r="C120" s="281"/>
    </row>
    <row r="121" spans="1:3" ht="15.75" customHeight="1">
      <c r="A121" s="243" t="s">
        <v>400</v>
      </c>
      <c r="C121" s="281">
        <f>C117+513144.49</f>
        <v>2262481.6100000003</v>
      </c>
    </row>
    <row r="122" spans="1:3" ht="15.75" customHeight="1">
      <c r="A122" s="243" t="s">
        <v>401</v>
      </c>
      <c r="C122" s="281">
        <f>C118+644100</f>
        <v>1285300</v>
      </c>
    </row>
    <row r="123" spans="1:3" ht="15.75" customHeight="1">
      <c r="A123" s="243" t="s">
        <v>402</v>
      </c>
      <c r="C123" s="281">
        <f>C121+C122</f>
        <v>3547781.6100000003</v>
      </c>
    </row>
  </sheetData>
  <mergeCells count="53">
    <mergeCell ref="H36:H37"/>
    <mergeCell ref="K36:K37"/>
    <mergeCell ref="K38:K39"/>
    <mergeCell ref="F36:G37"/>
    <mergeCell ref="F3:G4"/>
    <mergeCell ref="L71:L74"/>
    <mergeCell ref="K73:K74"/>
    <mergeCell ref="B14:C14"/>
    <mergeCell ref="B17:C17"/>
    <mergeCell ref="B33:C33"/>
    <mergeCell ref="B24:C24"/>
    <mergeCell ref="B25:C25"/>
    <mergeCell ref="B46:C46"/>
    <mergeCell ref="B52:C52"/>
    <mergeCell ref="D36:E37"/>
    <mergeCell ref="B13:C13"/>
    <mergeCell ref="B16:C16"/>
    <mergeCell ref="B51:C51"/>
    <mergeCell ref="L106:L109"/>
    <mergeCell ref="B102:C102"/>
    <mergeCell ref="D106:E107"/>
    <mergeCell ref="F106:G107"/>
    <mergeCell ref="H106:H107"/>
    <mergeCell ref="A115:C115"/>
    <mergeCell ref="K106:K107"/>
    <mergeCell ref="K108:K109"/>
    <mergeCell ref="D71:E72"/>
    <mergeCell ref="B80:C80"/>
    <mergeCell ref="B90:C90"/>
    <mergeCell ref="K71:K72"/>
    <mergeCell ref="F71:G72"/>
    <mergeCell ref="H71:H72"/>
    <mergeCell ref="B95:C95"/>
    <mergeCell ref="B113:C113"/>
    <mergeCell ref="A114:C114"/>
    <mergeCell ref="B34:C34"/>
    <mergeCell ref="B112:C112"/>
    <mergeCell ref="B81:C81"/>
    <mergeCell ref="B91:C91"/>
    <mergeCell ref="B96:C96"/>
    <mergeCell ref="B101:C101"/>
    <mergeCell ref="B65:C65"/>
    <mergeCell ref="B66:C66"/>
    <mergeCell ref="A117:B117"/>
    <mergeCell ref="A1:L1"/>
    <mergeCell ref="A2:L2"/>
    <mergeCell ref="B45:C45"/>
    <mergeCell ref="L3:L6"/>
    <mergeCell ref="K5:K6"/>
    <mergeCell ref="K3:K4"/>
    <mergeCell ref="L36:L39"/>
    <mergeCell ref="D3:E4"/>
    <mergeCell ref="H3:H4"/>
  </mergeCells>
  <printOptions/>
  <pageMargins left="0.39" right="0.1968503937007874" top="0.5905511811023623" bottom="0.28" header="0.5118110236220472" footer="0.3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7"/>
  <sheetViews>
    <sheetView view="pageBreakPreview" zoomScaleSheetLayoutView="100" workbookViewId="0" topLeftCell="A364">
      <selection activeCell="G356" sqref="G356"/>
    </sheetView>
  </sheetViews>
  <sheetFormatPr defaultColWidth="9.140625" defaultRowHeight="12.75"/>
  <cols>
    <col min="1" max="1" width="6.140625" style="128" customWidth="1"/>
    <col min="2" max="2" width="7.57421875" style="128" customWidth="1"/>
    <col min="3" max="3" width="33.00390625" style="128" customWidth="1"/>
    <col min="4" max="4" width="10.28125" style="130" customWidth="1"/>
    <col min="5" max="5" width="9.57421875" style="130" customWidth="1"/>
    <col min="6" max="6" width="11.00390625" style="130" customWidth="1"/>
    <col min="7" max="7" width="12.00390625" style="130" customWidth="1"/>
    <col min="8" max="8" width="12.28125" style="130" customWidth="1"/>
    <col min="9" max="9" width="12.140625" style="131" customWidth="1"/>
    <col min="10" max="10" width="11.8515625" style="131" customWidth="1"/>
    <col min="11" max="11" width="12.8515625" style="131" customWidth="1"/>
    <col min="12" max="16384" width="9.140625" style="128" customWidth="1"/>
  </cols>
  <sheetData>
    <row r="1" spans="1:10" ht="21">
      <c r="A1" s="343" t="s">
        <v>284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21">
      <c r="A2" s="343" t="s">
        <v>359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s="129" customFormat="1" ht="18">
      <c r="A3" s="150"/>
      <c r="B3" s="151"/>
      <c r="C3" s="152" t="s">
        <v>246</v>
      </c>
      <c r="D3" s="364" t="s">
        <v>238</v>
      </c>
      <c r="E3" s="365"/>
      <c r="F3" s="366"/>
      <c r="G3" s="199" t="s">
        <v>7</v>
      </c>
      <c r="H3" s="364" t="s">
        <v>240</v>
      </c>
      <c r="I3" s="366"/>
      <c r="J3" s="210" t="s">
        <v>444</v>
      </c>
      <c r="K3" s="299"/>
    </row>
    <row r="4" spans="1:11" s="129" customFormat="1" ht="18">
      <c r="A4" s="153"/>
      <c r="B4" s="144"/>
      <c r="C4" s="154"/>
      <c r="D4" s="367"/>
      <c r="E4" s="368"/>
      <c r="F4" s="369"/>
      <c r="G4" s="200" t="s">
        <v>8</v>
      </c>
      <c r="H4" s="367"/>
      <c r="I4" s="370"/>
      <c r="J4" s="291" t="s">
        <v>445</v>
      </c>
      <c r="K4" s="299"/>
    </row>
    <row r="5" spans="1:11" s="129" customFormat="1" ht="18">
      <c r="A5" s="173" t="s">
        <v>245</v>
      </c>
      <c r="B5" s="174"/>
      <c r="C5" s="154"/>
      <c r="D5" s="179" t="s">
        <v>260</v>
      </c>
      <c r="E5" s="179" t="s">
        <v>416</v>
      </c>
      <c r="F5" s="179" t="s">
        <v>260</v>
      </c>
      <c r="G5" s="179" t="s">
        <v>446</v>
      </c>
      <c r="H5" s="201" t="s">
        <v>412</v>
      </c>
      <c r="I5" s="199" t="s">
        <v>379</v>
      </c>
      <c r="J5" s="179" t="s">
        <v>412</v>
      </c>
      <c r="K5" s="299"/>
    </row>
    <row r="6" spans="1:11" s="129" customFormat="1" ht="18">
      <c r="A6" s="216"/>
      <c r="B6" s="208"/>
      <c r="C6" s="217"/>
      <c r="D6" s="191" t="s">
        <v>257</v>
      </c>
      <c r="E6" s="191" t="s">
        <v>417</v>
      </c>
      <c r="F6" s="191" t="s">
        <v>259</v>
      </c>
      <c r="G6" s="191" t="s">
        <v>447</v>
      </c>
      <c r="H6" s="200" t="s">
        <v>241</v>
      </c>
      <c r="I6" s="200" t="s">
        <v>380</v>
      </c>
      <c r="J6" s="191" t="s">
        <v>448</v>
      </c>
      <c r="K6" s="299"/>
    </row>
    <row r="7" spans="1:10" ht="18">
      <c r="A7" s="136" t="s">
        <v>51</v>
      </c>
      <c r="B7" s="146" t="s">
        <v>408</v>
      </c>
      <c r="C7" s="138" t="s">
        <v>285</v>
      </c>
      <c r="D7" s="181" t="s">
        <v>276</v>
      </c>
      <c r="E7" s="181" t="s">
        <v>276</v>
      </c>
      <c r="F7" s="181" t="s">
        <v>276</v>
      </c>
      <c r="G7" s="181" t="s">
        <v>276</v>
      </c>
      <c r="H7" s="203" t="s">
        <v>276</v>
      </c>
      <c r="I7" s="193">
        <v>0</v>
      </c>
      <c r="J7" s="185">
        <v>0</v>
      </c>
    </row>
    <row r="8" spans="1:10" ht="18">
      <c r="A8" s="139"/>
      <c r="B8" s="147" t="s">
        <v>409</v>
      </c>
      <c r="C8" s="138" t="s">
        <v>236</v>
      </c>
      <c r="D8" s="181" t="s">
        <v>276</v>
      </c>
      <c r="E8" s="181" t="s">
        <v>276</v>
      </c>
      <c r="F8" s="181" t="s">
        <v>276</v>
      </c>
      <c r="G8" s="181" t="s">
        <v>276</v>
      </c>
      <c r="H8" s="203" t="s">
        <v>276</v>
      </c>
      <c r="I8" s="182">
        <v>0</v>
      </c>
      <c r="J8" s="181">
        <v>0</v>
      </c>
    </row>
    <row r="9" spans="1:10" ht="18">
      <c r="A9" s="139"/>
      <c r="B9" s="147"/>
      <c r="C9" s="138" t="s">
        <v>286</v>
      </c>
      <c r="D9" s="181" t="s">
        <v>276</v>
      </c>
      <c r="E9" s="181" t="s">
        <v>276</v>
      </c>
      <c r="F9" s="181" t="s">
        <v>276</v>
      </c>
      <c r="G9" s="181" t="s">
        <v>276</v>
      </c>
      <c r="H9" s="203" t="s">
        <v>276</v>
      </c>
      <c r="I9" s="182">
        <v>0</v>
      </c>
      <c r="J9" s="181">
        <v>0</v>
      </c>
    </row>
    <row r="10" spans="1:10" ht="18">
      <c r="A10" s="139"/>
      <c r="B10" s="147"/>
      <c r="C10" s="138" t="s">
        <v>287</v>
      </c>
      <c r="D10" s="181" t="s">
        <v>276</v>
      </c>
      <c r="E10" s="181" t="s">
        <v>276</v>
      </c>
      <c r="F10" s="181" t="s">
        <v>276</v>
      </c>
      <c r="G10" s="181" t="s">
        <v>276</v>
      </c>
      <c r="H10" s="203" t="s">
        <v>276</v>
      </c>
      <c r="I10" s="182">
        <v>0</v>
      </c>
      <c r="J10" s="181">
        <v>0</v>
      </c>
    </row>
    <row r="11" spans="1:10" ht="18">
      <c r="A11" s="139"/>
      <c r="B11" s="147"/>
      <c r="C11" s="138" t="s">
        <v>392</v>
      </c>
      <c r="D11" s="181" t="s">
        <v>276</v>
      </c>
      <c r="E11" s="181" t="s">
        <v>276</v>
      </c>
      <c r="F11" s="181" t="s">
        <v>276</v>
      </c>
      <c r="G11" s="181" t="s">
        <v>276</v>
      </c>
      <c r="H11" s="203" t="s">
        <v>276</v>
      </c>
      <c r="I11" s="182">
        <v>0</v>
      </c>
      <c r="J11" s="181">
        <v>0</v>
      </c>
    </row>
    <row r="12" spans="1:10" ht="18">
      <c r="A12" s="139"/>
      <c r="B12" s="147"/>
      <c r="C12" s="141" t="s">
        <v>288</v>
      </c>
      <c r="D12" s="181" t="s">
        <v>276</v>
      </c>
      <c r="E12" s="181" t="s">
        <v>276</v>
      </c>
      <c r="F12" s="181" t="s">
        <v>276</v>
      </c>
      <c r="G12" s="181" t="s">
        <v>276</v>
      </c>
      <c r="H12" s="203" t="s">
        <v>276</v>
      </c>
      <c r="I12" s="182">
        <v>0</v>
      </c>
      <c r="J12" s="181">
        <v>0</v>
      </c>
    </row>
    <row r="13" spans="1:10" ht="18">
      <c r="A13" s="160"/>
      <c r="B13" s="163" t="s">
        <v>52</v>
      </c>
      <c r="C13" s="241" t="s">
        <v>468</v>
      </c>
      <c r="D13" s="181">
        <v>0</v>
      </c>
      <c r="E13" s="181">
        <v>0</v>
      </c>
      <c r="F13" s="181">
        <v>0</v>
      </c>
      <c r="G13" s="181">
        <v>0</v>
      </c>
      <c r="H13" s="203">
        <v>0</v>
      </c>
      <c r="I13" s="182">
        <v>0</v>
      </c>
      <c r="J13" s="181">
        <v>0</v>
      </c>
    </row>
    <row r="14" spans="1:10" ht="18">
      <c r="A14" s="160"/>
      <c r="B14" s="164" t="s">
        <v>410</v>
      </c>
      <c r="C14" s="161" t="s">
        <v>219</v>
      </c>
      <c r="D14" s="181">
        <v>0</v>
      </c>
      <c r="E14" s="181" t="s">
        <v>276</v>
      </c>
      <c r="F14" s="181" t="s">
        <v>276</v>
      </c>
      <c r="G14" s="181" t="s">
        <v>276</v>
      </c>
      <c r="H14" s="203" t="s">
        <v>276</v>
      </c>
      <c r="I14" s="182">
        <v>0</v>
      </c>
      <c r="J14" s="181">
        <v>0</v>
      </c>
    </row>
    <row r="15" spans="1:10" ht="18">
      <c r="A15" s="160"/>
      <c r="B15" s="164" t="s">
        <v>411</v>
      </c>
      <c r="C15" s="161" t="s">
        <v>220</v>
      </c>
      <c r="D15" s="181">
        <v>0</v>
      </c>
      <c r="E15" s="181" t="s">
        <v>276</v>
      </c>
      <c r="F15" s="181" t="s">
        <v>276</v>
      </c>
      <c r="G15" s="181" t="s">
        <v>276</v>
      </c>
      <c r="H15" s="203" t="s">
        <v>276</v>
      </c>
      <c r="I15" s="182">
        <v>0</v>
      </c>
      <c r="J15" s="181">
        <v>0</v>
      </c>
    </row>
    <row r="16" spans="1:10" ht="18">
      <c r="A16" s="160"/>
      <c r="B16" s="149"/>
      <c r="C16" s="143" t="s">
        <v>289</v>
      </c>
      <c r="D16" s="181" t="s">
        <v>276</v>
      </c>
      <c r="E16" s="181" t="s">
        <v>276</v>
      </c>
      <c r="F16" s="181" t="s">
        <v>276</v>
      </c>
      <c r="G16" s="181" t="s">
        <v>276</v>
      </c>
      <c r="H16" s="203" t="s">
        <v>276</v>
      </c>
      <c r="I16" s="182">
        <v>0</v>
      </c>
      <c r="J16" s="181">
        <v>0</v>
      </c>
    </row>
    <row r="17" spans="1:10" ht="18">
      <c r="A17" s="142"/>
      <c r="B17" s="375" t="s">
        <v>290</v>
      </c>
      <c r="C17" s="376"/>
      <c r="D17" s="181" t="s">
        <v>276</v>
      </c>
      <c r="E17" s="181" t="s">
        <v>276</v>
      </c>
      <c r="F17" s="181" t="s">
        <v>276</v>
      </c>
      <c r="G17" s="181" t="s">
        <v>276</v>
      </c>
      <c r="H17" s="203" t="s">
        <v>276</v>
      </c>
      <c r="I17" s="182">
        <v>0</v>
      </c>
      <c r="J17" s="181">
        <v>0</v>
      </c>
    </row>
    <row r="18" spans="1:10" ht="18">
      <c r="A18" s="136" t="s">
        <v>0</v>
      </c>
      <c r="B18" s="146" t="s">
        <v>408</v>
      </c>
      <c r="C18" s="138" t="s">
        <v>2</v>
      </c>
      <c r="D18" s="182">
        <f>550000-49652-35880</f>
        <v>464468</v>
      </c>
      <c r="E18" s="181" t="s">
        <v>276</v>
      </c>
      <c r="F18" s="181" t="s">
        <v>276</v>
      </c>
      <c r="G18" s="181" t="s">
        <v>276</v>
      </c>
      <c r="H18" s="203" t="s">
        <v>276</v>
      </c>
      <c r="I18" s="182">
        <v>0</v>
      </c>
      <c r="J18" s="181">
        <v>0</v>
      </c>
    </row>
    <row r="19" spans="1:10" ht="18">
      <c r="A19" s="139" t="s">
        <v>406</v>
      </c>
      <c r="B19" s="147" t="s">
        <v>409</v>
      </c>
      <c r="C19" s="138" t="s">
        <v>3</v>
      </c>
      <c r="D19" s="182">
        <f>43300-3804-2912</f>
        <v>36584</v>
      </c>
      <c r="E19" s="181" t="s">
        <v>276</v>
      </c>
      <c r="F19" s="181" t="s">
        <v>276</v>
      </c>
      <c r="G19" s="181" t="s">
        <v>276</v>
      </c>
      <c r="H19" s="203" t="s">
        <v>276</v>
      </c>
      <c r="I19" s="182">
        <v>0</v>
      </c>
      <c r="J19" s="181">
        <v>0</v>
      </c>
    </row>
    <row r="20" spans="1:10" ht="18">
      <c r="A20" s="139" t="s">
        <v>407</v>
      </c>
      <c r="B20" s="147"/>
      <c r="C20" s="138" t="s">
        <v>4</v>
      </c>
      <c r="D20" s="182">
        <f>43000-3804-2912</f>
        <v>36284</v>
      </c>
      <c r="E20" s="181" t="s">
        <v>276</v>
      </c>
      <c r="F20" s="181" t="s">
        <v>276</v>
      </c>
      <c r="G20" s="181" t="s">
        <v>276</v>
      </c>
      <c r="H20" s="203" t="s">
        <v>276</v>
      </c>
      <c r="I20" s="182">
        <v>0</v>
      </c>
      <c r="J20" s="181">
        <v>0</v>
      </c>
    </row>
    <row r="21" spans="1:10" ht="18">
      <c r="A21" s="139"/>
      <c r="B21" s="147"/>
      <c r="C21" s="138" t="s">
        <v>462</v>
      </c>
      <c r="D21" s="182">
        <f>87000-7200-6032</f>
        <v>73768</v>
      </c>
      <c r="E21" s="181" t="s">
        <v>276</v>
      </c>
      <c r="F21" s="181" t="s">
        <v>276</v>
      </c>
      <c r="G21" s="181" t="s">
        <v>276</v>
      </c>
      <c r="H21" s="203" t="s">
        <v>276</v>
      </c>
      <c r="I21" s="182">
        <v>0</v>
      </c>
      <c r="J21" s="181">
        <v>0</v>
      </c>
    </row>
    <row r="22" spans="1:10" ht="18">
      <c r="A22" s="139"/>
      <c r="B22" s="147"/>
      <c r="C22" s="138" t="s">
        <v>5</v>
      </c>
      <c r="D22" s="182">
        <f>2200000-178800-177338</f>
        <v>1843862</v>
      </c>
      <c r="E22" s="181" t="s">
        <v>276</v>
      </c>
      <c r="F22" s="181" t="s">
        <v>276</v>
      </c>
      <c r="G22" s="181" t="s">
        <v>276</v>
      </c>
      <c r="H22" s="203" t="s">
        <v>276</v>
      </c>
      <c r="I22" s="182">
        <v>0</v>
      </c>
      <c r="J22" s="181">
        <v>0</v>
      </c>
    </row>
    <row r="23" spans="1:10" ht="18">
      <c r="A23" s="139"/>
      <c r="B23" s="147"/>
      <c r="C23" s="138" t="s">
        <v>6</v>
      </c>
      <c r="D23" s="182">
        <f>90000-7200-6032</f>
        <v>76768</v>
      </c>
      <c r="E23" s="181" t="s">
        <v>276</v>
      </c>
      <c r="F23" s="181" t="s">
        <v>276</v>
      </c>
      <c r="G23" s="181" t="s">
        <v>276</v>
      </c>
      <c r="H23" s="203" t="s">
        <v>276</v>
      </c>
      <c r="I23" s="182">
        <v>0</v>
      </c>
      <c r="J23" s="181">
        <v>0</v>
      </c>
    </row>
    <row r="24" spans="1:10" ht="18">
      <c r="A24" s="139"/>
      <c r="B24" s="148"/>
      <c r="C24" s="143" t="s">
        <v>288</v>
      </c>
      <c r="D24" s="182">
        <f>SUM(D18:D23)</f>
        <v>2531734</v>
      </c>
      <c r="E24" s="181" t="s">
        <v>276</v>
      </c>
      <c r="F24" s="181" t="s">
        <v>276</v>
      </c>
      <c r="G24" s="181" t="s">
        <v>276</v>
      </c>
      <c r="H24" s="203" t="s">
        <v>276</v>
      </c>
      <c r="I24" s="182">
        <v>0</v>
      </c>
      <c r="J24" s="181">
        <v>0</v>
      </c>
    </row>
    <row r="25" spans="1:10" ht="18">
      <c r="A25" s="142"/>
      <c r="B25" s="377" t="s">
        <v>290</v>
      </c>
      <c r="C25" s="376"/>
      <c r="D25" s="182">
        <f>SUM(D24)</f>
        <v>2531734</v>
      </c>
      <c r="E25" s="181" t="s">
        <v>276</v>
      </c>
      <c r="F25" s="181" t="s">
        <v>276</v>
      </c>
      <c r="G25" s="181" t="s">
        <v>276</v>
      </c>
      <c r="H25" s="203" t="s">
        <v>276</v>
      </c>
      <c r="I25" s="182">
        <v>0</v>
      </c>
      <c r="J25" s="181">
        <v>0</v>
      </c>
    </row>
    <row r="26" spans="1:10" ht="18">
      <c r="A26" s="166"/>
      <c r="B26" s="162"/>
      <c r="C26" s="166"/>
      <c r="D26" s="188"/>
      <c r="E26" s="188"/>
      <c r="F26" s="188"/>
      <c r="G26" s="188"/>
      <c r="H26" s="188"/>
      <c r="I26" s="194"/>
      <c r="J26" s="188"/>
    </row>
    <row r="27" spans="1:10" ht="18">
      <c r="A27" s="166"/>
      <c r="B27" s="162"/>
      <c r="C27" s="166"/>
      <c r="D27" s="188"/>
      <c r="E27" s="188"/>
      <c r="F27" s="188"/>
      <c r="G27" s="188"/>
      <c r="H27" s="188"/>
      <c r="I27" s="194"/>
      <c r="J27" s="188"/>
    </row>
    <row r="28" spans="1:10" ht="18">
      <c r="A28" s="166"/>
      <c r="B28" s="162"/>
      <c r="C28" s="166"/>
      <c r="D28" s="188"/>
      <c r="E28" s="188"/>
      <c r="F28" s="188"/>
      <c r="G28" s="188"/>
      <c r="H28" s="188"/>
      <c r="I28" s="194"/>
      <c r="J28" s="188"/>
    </row>
    <row r="29" spans="1:10" ht="18">
      <c r="A29" s="166"/>
      <c r="B29" s="162"/>
      <c r="C29" s="166"/>
      <c r="D29" s="188"/>
      <c r="E29" s="188"/>
      <c r="F29" s="188"/>
      <c r="G29" s="188"/>
      <c r="H29" s="188"/>
      <c r="I29" s="194"/>
      <c r="J29" s="188"/>
    </row>
    <row r="30" spans="1:10" ht="18">
      <c r="A30" s="166"/>
      <c r="B30" s="162"/>
      <c r="C30" s="166"/>
      <c r="D30" s="188"/>
      <c r="E30" s="188"/>
      <c r="F30" s="188"/>
      <c r="G30" s="188"/>
      <c r="H30" s="188"/>
      <c r="I30" s="194"/>
      <c r="J30" s="188"/>
    </row>
    <row r="31" spans="1:10" ht="18">
      <c r="A31" s="211"/>
      <c r="B31" s="196"/>
      <c r="C31" s="178" t="s">
        <v>246</v>
      </c>
      <c r="D31" s="219" t="s">
        <v>283</v>
      </c>
      <c r="E31" s="190" t="s">
        <v>9</v>
      </c>
      <c r="F31" s="378" t="s">
        <v>424</v>
      </c>
      <c r="G31" s="379"/>
      <c r="H31" s="382" t="s">
        <v>427</v>
      </c>
      <c r="I31" s="383"/>
      <c r="J31" s="218" t="s">
        <v>283</v>
      </c>
    </row>
    <row r="32" spans="1:10" ht="18">
      <c r="A32" s="160"/>
      <c r="B32" s="371"/>
      <c r="C32" s="371"/>
      <c r="D32" s="202" t="s">
        <v>418</v>
      </c>
      <c r="E32" s="176" t="s">
        <v>10</v>
      </c>
      <c r="F32" s="380"/>
      <c r="G32" s="381"/>
      <c r="H32" s="384"/>
      <c r="I32" s="385"/>
      <c r="J32" s="209" t="s">
        <v>450</v>
      </c>
    </row>
    <row r="33" spans="1:10" ht="18">
      <c r="A33" s="298" t="s">
        <v>245</v>
      </c>
      <c r="B33" s="295"/>
      <c r="C33" s="297"/>
      <c r="D33" s="213" t="s">
        <v>413</v>
      </c>
      <c r="E33" s="192" t="s">
        <v>419</v>
      </c>
      <c r="F33" s="190" t="s">
        <v>419</v>
      </c>
      <c r="G33" s="372" t="s">
        <v>11</v>
      </c>
      <c r="H33" s="192" t="s">
        <v>12</v>
      </c>
      <c r="I33" s="190" t="s">
        <v>425</v>
      </c>
      <c r="J33" s="213" t="s">
        <v>428</v>
      </c>
    </row>
    <row r="34" spans="1:10" ht="18">
      <c r="A34" s="298"/>
      <c r="B34" s="295"/>
      <c r="C34" s="297"/>
      <c r="D34" s="213" t="s">
        <v>421</v>
      </c>
      <c r="E34" s="192" t="s">
        <v>458</v>
      </c>
      <c r="F34" s="192" t="s">
        <v>422</v>
      </c>
      <c r="G34" s="373"/>
      <c r="H34" s="192" t="s">
        <v>13</v>
      </c>
      <c r="I34" s="192" t="s">
        <v>426</v>
      </c>
      <c r="J34" s="213" t="s">
        <v>429</v>
      </c>
    </row>
    <row r="35" spans="1:10" ht="18">
      <c r="A35" s="155"/>
      <c r="B35" s="156"/>
      <c r="C35" s="140"/>
      <c r="D35" s="215" t="s">
        <v>414</v>
      </c>
      <c r="E35" s="176" t="s">
        <v>459</v>
      </c>
      <c r="F35" s="176" t="s">
        <v>423</v>
      </c>
      <c r="G35" s="374"/>
      <c r="H35" s="176"/>
      <c r="I35" s="176"/>
      <c r="J35" s="215"/>
    </row>
    <row r="36" spans="1:10" ht="18">
      <c r="A36" s="136" t="s">
        <v>51</v>
      </c>
      <c r="B36" s="146" t="s">
        <v>408</v>
      </c>
      <c r="C36" s="138" t="s">
        <v>285</v>
      </c>
      <c r="D36" s="181" t="s">
        <v>276</v>
      </c>
      <c r="E36" s="181" t="s">
        <v>276</v>
      </c>
      <c r="F36" s="181" t="s">
        <v>276</v>
      </c>
      <c r="G36" s="181" t="s">
        <v>276</v>
      </c>
      <c r="H36" s="181" t="s">
        <v>276</v>
      </c>
      <c r="I36" s="182">
        <v>0</v>
      </c>
      <c r="J36" s="181">
        <v>0</v>
      </c>
    </row>
    <row r="37" spans="1:10" ht="18">
      <c r="A37" s="139"/>
      <c r="B37" s="147" t="s">
        <v>409</v>
      </c>
      <c r="C37" s="138" t="s">
        <v>236</v>
      </c>
      <c r="D37" s="181" t="s">
        <v>276</v>
      </c>
      <c r="E37" s="181" t="s">
        <v>276</v>
      </c>
      <c r="F37" s="181" t="s">
        <v>276</v>
      </c>
      <c r="G37" s="181" t="s">
        <v>276</v>
      </c>
      <c r="H37" s="181" t="s">
        <v>276</v>
      </c>
      <c r="I37" s="182">
        <v>0</v>
      </c>
      <c r="J37" s="181">
        <v>0</v>
      </c>
    </row>
    <row r="38" spans="1:10" ht="18">
      <c r="A38" s="139"/>
      <c r="B38" s="147"/>
      <c r="C38" s="138" t="s">
        <v>286</v>
      </c>
      <c r="D38" s="181" t="s">
        <v>276</v>
      </c>
      <c r="E38" s="181" t="s">
        <v>276</v>
      </c>
      <c r="F38" s="181" t="s">
        <v>276</v>
      </c>
      <c r="G38" s="181" t="s">
        <v>276</v>
      </c>
      <c r="H38" s="181" t="s">
        <v>276</v>
      </c>
      <c r="I38" s="182">
        <v>0</v>
      </c>
      <c r="J38" s="181">
        <v>0</v>
      </c>
    </row>
    <row r="39" spans="1:10" ht="18">
      <c r="A39" s="139"/>
      <c r="B39" s="147"/>
      <c r="C39" s="138" t="s">
        <v>287</v>
      </c>
      <c r="D39" s="181" t="s">
        <v>276</v>
      </c>
      <c r="E39" s="181" t="s">
        <v>276</v>
      </c>
      <c r="F39" s="181" t="s">
        <v>276</v>
      </c>
      <c r="G39" s="181" t="s">
        <v>276</v>
      </c>
      <c r="H39" s="181" t="s">
        <v>276</v>
      </c>
      <c r="I39" s="182">
        <v>0</v>
      </c>
      <c r="J39" s="181">
        <v>0</v>
      </c>
    </row>
    <row r="40" spans="1:10" ht="18">
      <c r="A40" s="139"/>
      <c r="B40" s="147"/>
      <c r="C40" s="138" t="s">
        <v>392</v>
      </c>
      <c r="D40" s="181" t="s">
        <v>276</v>
      </c>
      <c r="E40" s="181" t="s">
        <v>276</v>
      </c>
      <c r="F40" s="181" t="s">
        <v>276</v>
      </c>
      <c r="G40" s="181" t="s">
        <v>276</v>
      </c>
      <c r="H40" s="181" t="s">
        <v>276</v>
      </c>
      <c r="I40" s="182">
        <v>0</v>
      </c>
      <c r="J40" s="181">
        <v>0</v>
      </c>
    </row>
    <row r="41" spans="1:10" ht="18">
      <c r="A41" s="139"/>
      <c r="B41" s="147"/>
      <c r="C41" s="141" t="s">
        <v>288</v>
      </c>
      <c r="D41" s="181" t="s">
        <v>276</v>
      </c>
      <c r="E41" s="181" t="s">
        <v>276</v>
      </c>
      <c r="F41" s="181" t="s">
        <v>276</v>
      </c>
      <c r="G41" s="181" t="s">
        <v>276</v>
      </c>
      <c r="H41" s="181" t="s">
        <v>276</v>
      </c>
      <c r="I41" s="182">
        <v>0</v>
      </c>
      <c r="J41" s="181">
        <v>0</v>
      </c>
    </row>
    <row r="42" spans="1:10" ht="18">
      <c r="A42" s="160"/>
      <c r="B42" s="163" t="s">
        <v>52</v>
      </c>
      <c r="C42" s="241" t="s">
        <v>468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2">
        <v>0</v>
      </c>
      <c r="J42" s="181">
        <v>0</v>
      </c>
    </row>
    <row r="43" spans="1:10" ht="18">
      <c r="A43" s="160"/>
      <c r="B43" s="164" t="s">
        <v>410</v>
      </c>
      <c r="C43" s="161" t="s">
        <v>219</v>
      </c>
      <c r="D43" s="181" t="s">
        <v>276</v>
      </c>
      <c r="E43" s="181" t="s">
        <v>276</v>
      </c>
      <c r="F43" s="181" t="s">
        <v>276</v>
      </c>
      <c r="G43" s="181" t="s">
        <v>276</v>
      </c>
      <c r="H43" s="181" t="s">
        <v>276</v>
      </c>
      <c r="I43" s="182">
        <v>0</v>
      </c>
      <c r="J43" s="181">
        <v>0</v>
      </c>
    </row>
    <row r="44" spans="1:10" ht="18">
      <c r="A44" s="160"/>
      <c r="B44" s="164" t="s">
        <v>411</v>
      </c>
      <c r="C44" s="161" t="s">
        <v>220</v>
      </c>
      <c r="D44" s="181" t="s">
        <v>276</v>
      </c>
      <c r="E44" s="181" t="s">
        <v>276</v>
      </c>
      <c r="F44" s="181" t="s">
        <v>276</v>
      </c>
      <c r="G44" s="181">
        <v>0</v>
      </c>
      <c r="H44" s="181" t="s">
        <v>276</v>
      </c>
      <c r="I44" s="182">
        <v>0</v>
      </c>
      <c r="J44" s="181">
        <v>0</v>
      </c>
    </row>
    <row r="45" spans="1:10" ht="18">
      <c r="A45" s="160"/>
      <c r="B45" s="149"/>
      <c r="C45" s="143" t="s">
        <v>289</v>
      </c>
      <c r="D45" s="181" t="s">
        <v>276</v>
      </c>
      <c r="E45" s="181" t="s">
        <v>276</v>
      </c>
      <c r="F45" s="181" t="s">
        <v>276</v>
      </c>
      <c r="G45" s="181" t="s">
        <v>276</v>
      </c>
      <c r="H45" s="181" t="s">
        <v>276</v>
      </c>
      <c r="I45" s="182">
        <v>0</v>
      </c>
      <c r="J45" s="181">
        <v>0</v>
      </c>
    </row>
    <row r="46" spans="1:10" ht="18">
      <c r="A46" s="142"/>
      <c r="B46" s="375" t="s">
        <v>290</v>
      </c>
      <c r="C46" s="376"/>
      <c r="D46" s="181" t="s">
        <v>276</v>
      </c>
      <c r="E46" s="181" t="s">
        <v>276</v>
      </c>
      <c r="F46" s="181" t="s">
        <v>276</v>
      </c>
      <c r="G46" s="181" t="s">
        <v>276</v>
      </c>
      <c r="H46" s="181" t="s">
        <v>276</v>
      </c>
      <c r="I46" s="182">
        <v>0</v>
      </c>
      <c r="J46" s="181">
        <v>0</v>
      </c>
    </row>
    <row r="47" spans="1:10" ht="18">
      <c r="A47" s="136" t="s">
        <v>0</v>
      </c>
      <c r="B47" s="146" t="s">
        <v>408</v>
      </c>
      <c r="C47" s="138" t="s">
        <v>2</v>
      </c>
      <c r="D47" s="181" t="s">
        <v>276</v>
      </c>
      <c r="E47" s="181" t="s">
        <v>276</v>
      </c>
      <c r="F47" s="181" t="s">
        <v>276</v>
      </c>
      <c r="G47" s="181" t="s">
        <v>276</v>
      </c>
      <c r="H47" s="181" t="s">
        <v>276</v>
      </c>
      <c r="I47" s="182">
        <v>0</v>
      </c>
      <c r="J47" s="181">
        <v>0</v>
      </c>
    </row>
    <row r="48" spans="1:10" ht="18">
      <c r="A48" s="139" t="s">
        <v>406</v>
      </c>
      <c r="B48" s="147" t="s">
        <v>409</v>
      </c>
      <c r="C48" s="138" t="s">
        <v>3</v>
      </c>
      <c r="D48" s="181" t="s">
        <v>276</v>
      </c>
      <c r="E48" s="181" t="s">
        <v>276</v>
      </c>
      <c r="F48" s="181" t="s">
        <v>276</v>
      </c>
      <c r="G48" s="181" t="s">
        <v>276</v>
      </c>
      <c r="H48" s="181" t="s">
        <v>276</v>
      </c>
      <c r="I48" s="182">
        <v>0</v>
      </c>
      <c r="J48" s="181">
        <v>0</v>
      </c>
    </row>
    <row r="49" spans="1:10" ht="18">
      <c r="A49" s="139" t="s">
        <v>407</v>
      </c>
      <c r="B49" s="147"/>
      <c r="C49" s="138" t="s">
        <v>4</v>
      </c>
      <c r="D49" s="181" t="s">
        <v>276</v>
      </c>
      <c r="E49" s="181" t="s">
        <v>276</v>
      </c>
      <c r="F49" s="181" t="s">
        <v>276</v>
      </c>
      <c r="G49" s="181" t="s">
        <v>276</v>
      </c>
      <c r="H49" s="181" t="s">
        <v>276</v>
      </c>
      <c r="I49" s="182">
        <v>0</v>
      </c>
      <c r="J49" s="181">
        <v>0</v>
      </c>
    </row>
    <row r="50" spans="1:10" ht="18">
      <c r="A50" s="139"/>
      <c r="B50" s="147"/>
      <c r="C50" s="138" t="s">
        <v>415</v>
      </c>
      <c r="D50" s="181" t="s">
        <v>276</v>
      </c>
      <c r="E50" s="181" t="s">
        <v>276</v>
      </c>
      <c r="F50" s="181" t="s">
        <v>276</v>
      </c>
      <c r="G50" s="181" t="s">
        <v>276</v>
      </c>
      <c r="H50" s="181" t="s">
        <v>276</v>
      </c>
      <c r="I50" s="182">
        <v>0</v>
      </c>
      <c r="J50" s="181">
        <v>0</v>
      </c>
    </row>
    <row r="51" spans="1:10" ht="18">
      <c r="A51" s="139"/>
      <c r="B51" s="147"/>
      <c r="C51" s="138" t="s">
        <v>5</v>
      </c>
      <c r="D51" s="181" t="s">
        <v>276</v>
      </c>
      <c r="E51" s="181" t="s">
        <v>276</v>
      </c>
      <c r="F51" s="181" t="s">
        <v>276</v>
      </c>
      <c r="G51" s="181" t="s">
        <v>276</v>
      </c>
      <c r="H51" s="181" t="s">
        <v>276</v>
      </c>
      <c r="I51" s="182">
        <v>0</v>
      </c>
      <c r="J51" s="181">
        <v>0</v>
      </c>
    </row>
    <row r="52" spans="1:10" ht="18">
      <c r="A52" s="139"/>
      <c r="B52" s="147"/>
      <c r="C52" s="138" t="s">
        <v>6</v>
      </c>
      <c r="D52" s="181" t="s">
        <v>276</v>
      </c>
      <c r="E52" s="181" t="s">
        <v>276</v>
      </c>
      <c r="F52" s="181" t="s">
        <v>276</v>
      </c>
      <c r="G52" s="181" t="s">
        <v>276</v>
      </c>
      <c r="H52" s="181" t="s">
        <v>276</v>
      </c>
      <c r="I52" s="182">
        <v>0</v>
      </c>
      <c r="J52" s="181">
        <v>0</v>
      </c>
    </row>
    <row r="53" spans="1:10" ht="18">
      <c r="A53" s="139"/>
      <c r="B53" s="148"/>
      <c r="C53" s="143" t="s">
        <v>288</v>
      </c>
      <c r="D53" s="181" t="s">
        <v>276</v>
      </c>
      <c r="E53" s="181" t="s">
        <v>276</v>
      </c>
      <c r="F53" s="181" t="s">
        <v>276</v>
      </c>
      <c r="G53" s="181" t="s">
        <v>276</v>
      </c>
      <c r="H53" s="181" t="s">
        <v>276</v>
      </c>
      <c r="I53" s="182">
        <v>0</v>
      </c>
      <c r="J53" s="181">
        <v>0</v>
      </c>
    </row>
    <row r="54" spans="1:10" ht="18">
      <c r="A54" s="142"/>
      <c r="B54" s="377" t="s">
        <v>290</v>
      </c>
      <c r="C54" s="376"/>
      <c r="D54" s="181" t="s">
        <v>276</v>
      </c>
      <c r="E54" s="181" t="s">
        <v>276</v>
      </c>
      <c r="F54" s="181" t="s">
        <v>276</v>
      </c>
      <c r="G54" s="181" t="s">
        <v>276</v>
      </c>
      <c r="H54" s="181" t="s">
        <v>276</v>
      </c>
      <c r="I54" s="182">
        <v>0</v>
      </c>
      <c r="J54" s="181">
        <v>0</v>
      </c>
    </row>
    <row r="55" spans="1:10" ht="18">
      <c r="A55" s="166"/>
      <c r="B55" s="162"/>
      <c r="C55" s="166"/>
      <c r="D55" s="194"/>
      <c r="E55" s="188"/>
      <c r="F55" s="188"/>
      <c r="G55" s="194"/>
      <c r="H55" s="188"/>
      <c r="I55" s="194"/>
      <c r="J55" s="188"/>
    </row>
    <row r="56" spans="1:10" ht="18">
      <c r="A56" s="166"/>
      <c r="B56" s="162"/>
      <c r="C56" s="166"/>
      <c r="D56" s="194"/>
      <c r="E56" s="188"/>
      <c r="F56" s="188"/>
      <c r="G56" s="194"/>
      <c r="H56" s="188"/>
      <c r="I56" s="194"/>
      <c r="J56" s="188"/>
    </row>
    <row r="57" spans="1:10" ht="18">
      <c r="A57" s="166"/>
      <c r="B57" s="162"/>
      <c r="C57" s="166"/>
      <c r="D57" s="194"/>
      <c r="E57" s="188"/>
      <c r="F57" s="188"/>
      <c r="G57" s="194"/>
      <c r="H57" s="188"/>
      <c r="I57" s="194"/>
      <c r="J57" s="188"/>
    </row>
    <row r="58" spans="1:10" ht="18">
      <c r="A58" s="166"/>
      <c r="B58" s="162"/>
      <c r="C58" s="166"/>
      <c r="D58" s="194"/>
      <c r="E58" s="188"/>
      <c r="F58" s="188"/>
      <c r="G58" s="194"/>
      <c r="H58" s="188"/>
      <c r="I58" s="194"/>
      <c r="J58" s="188"/>
    </row>
    <row r="59" spans="1:10" ht="18">
      <c r="A59" s="166"/>
      <c r="B59" s="162"/>
      <c r="C59" s="166"/>
      <c r="D59" s="194"/>
      <c r="E59" s="188"/>
      <c r="F59" s="188"/>
      <c r="G59" s="194"/>
      <c r="H59" s="188"/>
      <c r="I59" s="194"/>
      <c r="J59" s="188"/>
    </row>
    <row r="60" spans="1:10" ht="18">
      <c r="A60" s="166"/>
      <c r="B60" s="162"/>
      <c r="C60" s="166"/>
      <c r="D60" s="194"/>
      <c r="E60" s="188"/>
      <c r="F60" s="188"/>
      <c r="G60" s="194"/>
      <c r="H60" s="188"/>
      <c r="I60" s="194"/>
      <c r="J60" s="188"/>
    </row>
    <row r="61" spans="1:11" s="129" customFormat="1" ht="18">
      <c r="A61" s="150"/>
      <c r="B61" s="151"/>
      <c r="C61" s="152" t="s">
        <v>246</v>
      </c>
      <c r="D61" s="207" t="s">
        <v>283</v>
      </c>
      <c r="E61" s="386" t="s">
        <v>266</v>
      </c>
      <c r="F61" s="205"/>
      <c r="G61" s="195"/>
      <c r="H61" s="363"/>
      <c r="I61" s="301"/>
      <c r="J61" s="302"/>
      <c r="K61" s="299"/>
    </row>
    <row r="62" spans="1:11" s="129" customFormat="1" ht="18">
      <c r="A62" s="153"/>
      <c r="B62" s="144"/>
      <c r="C62" s="154"/>
      <c r="D62" s="172" t="s">
        <v>51</v>
      </c>
      <c r="E62" s="387"/>
      <c r="F62" s="205"/>
      <c r="G62" s="195"/>
      <c r="H62" s="363"/>
      <c r="I62" s="301"/>
      <c r="J62" s="302"/>
      <c r="K62" s="299"/>
    </row>
    <row r="63" spans="1:11" s="129" customFormat="1" ht="18">
      <c r="A63" s="173" t="s">
        <v>245</v>
      </c>
      <c r="B63" s="174"/>
      <c r="C63" s="154"/>
      <c r="D63" s="389" t="s">
        <v>51</v>
      </c>
      <c r="E63" s="387"/>
      <c r="F63" s="206"/>
      <c r="G63" s="195"/>
      <c r="H63" s="363"/>
      <c r="I63" s="301"/>
      <c r="J63" s="302"/>
      <c r="K63" s="299"/>
    </row>
    <row r="64" spans="1:11" s="129" customFormat="1" ht="18">
      <c r="A64" s="216"/>
      <c r="B64" s="208"/>
      <c r="C64" s="217"/>
      <c r="D64" s="390"/>
      <c r="E64" s="388"/>
      <c r="F64" s="206"/>
      <c r="G64" s="195"/>
      <c r="H64" s="363"/>
      <c r="I64" s="301"/>
      <c r="J64" s="302"/>
      <c r="K64" s="299"/>
    </row>
    <row r="65" spans="1:10" ht="18">
      <c r="A65" s="136" t="s">
        <v>51</v>
      </c>
      <c r="B65" s="146" t="s">
        <v>408</v>
      </c>
      <c r="C65" s="138" t="s">
        <v>285</v>
      </c>
      <c r="D65" s="181">
        <f>100000-6156</f>
        <v>93844</v>
      </c>
      <c r="E65" s="181">
        <f>SUM(D65)</f>
        <v>93844</v>
      </c>
      <c r="F65" s="188"/>
      <c r="G65" s="188"/>
      <c r="H65" s="188"/>
      <c r="I65" s="180"/>
      <c r="J65" s="204"/>
    </row>
    <row r="66" spans="1:10" ht="18">
      <c r="A66" s="139"/>
      <c r="B66" s="147" t="s">
        <v>409</v>
      </c>
      <c r="C66" s="138" t="s">
        <v>236</v>
      </c>
      <c r="D66" s="181">
        <f>30000-2000-2000</f>
        <v>26000</v>
      </c>
      <c r="E66" s="181">
        <f>SUM(D66)</f>
        <v>26000</v>
      </c>
      <c r="F66" s="188"/>
      <c r="G66" s="188"/>
      <c r="H66" s="188"/>
      <c r="I66" s="180"/>
      <c r="J66" s="204"/>
    </row>
    <row r="67" spans="1:10" ht="18">
      <c r="A67" s="139"/>
      <c r="B67" s="147"/>
      <c r="C67" s="138" t="s">
        <v>286</v>
      </c>
      <c r="D67" s="181">
        <v>206054</v>
      </c>
      <c r="E67" s="181">
        <f>D67</f>
        <v>206054</v>
      </c>
      <c r="F67" s="188"/>
      <c r="G67" s="188"/>
      <c r="H67" s="188"/>
      <c r="I67" s="180"/>
      <c r="J67" s="204"/>
    </row>
    <row r="68" spans="1:10" ht="18">
      <c r="A68" s="139"/>
      <c r="B68" s="147"/>
      <c r="C68" s="138" t="s">
        <v>287</v>
      </c>
      <c r="D68" s="181">
        <v>100000</v>
      </c>
      <c r="E68" s="181">
        <f>D68</f>
        <v>100000</v>
      </c>
      <c r="F68" s="188"/>
      <c r="G68" s="188"/>
      <c r="H68" s="188"/>
      <c r="I68" s="180"/>
      <c r="J68" s="204"/>
    </row>
    <row r="69" spans="1:10" ht="18">
      <c r="A69" s="139"/>
      <c r="B69" s="147"/>
      <c r="C69" s="138" t="s">
        <v>392</v>
      </c>
      <c r="D69" s="181">
        <f>101236-101236</f>
        <v>0</v>
      </c>
      <c r="E69" s="181">
        <f>D69</f>
        <v>0</v>
      </c>
      <c r="F69" s="188"/>
      <c r="G69" s="188"/>
      <c r="H69" s="188"/>
      <c r="I69" s="180"/>
      <c r="J69" s="204"/>
    </row>
    <row r="70" spans="1:10" ht="18">
      <c r="A70" s="139"/>
      <c r="B70" s="147"/>
      <c r="C70" s="141" t="s">
        <v>288</v>
      </c>
      <c r="D70" s="181">
        <f>SUM(D65:D69)</f>
        <v>425898</v>
      </c>
      <c r="E70" s="181">
        <f>SUM(E65:E69)</f>
        <v>425898</v>
      </c>
      <c r="F70" s="188"/>
      <c r="G70" s="188"/>
      <c r="H70" s="188"/>
      <c r="I70" s="180"/>
      <c r="J70" s="204"/>
    </row>
    <row r="71" spans="1:10" ht="18">
      <c r="A71" s="160"/>
      <c r="B71" s="163" t="s">
        <v>52</v>
      </c>
      <c r="C71" s="241" t="s">
        <v>468</v>
      </c>
      <c r="D71" s="181">
        <v>360</v>
      </c>
      <c r="E71" s="181">
        <f>SUM(D71)</f>
        <v>360</v>
      </c>
      <c r="F71" s="188"/>
      <c r="G71" s="188"/>
      <c r="H71" s="188"/>
      <c r="I71" s="180"/>
      <c r="J71" s="204"/>
    </row>
    <row r="72" spans="1:10" ht="18">
      <c r="A72" s="160"/>
      <c r="B72" s="164" t="s">
        <v>410</v>
      </c>
      <c r="C72" s="161" t="s">
        <v>219</v>
      </c>
      <c r="D72" s="181">
        <f>800+2765500-546000-4000-3900-542800-3900-4000</f>
        <v>1661700</v>
      </c>
      <c r="E72" s="181">
        <f>SUM(D72)</f>
        <v>1661700</v>
      </c>
      <c r="F72" s="188"/>
      <c r="G72" s="188"/>
      <c r="H72" s="188"/>
      <c r="I72" s="180"/>
      <c r="J72" s="204"/>
    </row>
    <row r="73" spans="1:10" ht="18">
      <c r="A73" s="160"/>
      <c r="B73" s="164" t="s">
        <v>411</v>
      </c>
      <c r="C73" s="161" t="s">
        <v>220</v>
      </c>
      <c r="D73" s="181">
        <f>1000+455000-90000-1000-1000-88500-1000-1000</f>
        <v>273500</v>
      </c>
      <c r="E73" s="181">
        <f>SUM(D73)</f>
        <v>273500</v>
      </c>
      <c r="F73" s="188"/>
      <c r="G73" s="188"/>
      <c r="H73" s="188"/>
      <c r="I73" s="180"/>
      <c r="J73" s="204"/>
    </row>
    <row r="74" spans="1:10" ht="18">
      <c r="A74" s="160"/>
      <c r="B74" s="149"/>
      <c r="C74" s="143" t="s">
        <v>289</v>
      </c>
      <c r="D74" s="181">
        <f>SUM(D71:D73)</f>
        <v>1935560</v>
      </c>
      <c r="E74" s="181">
        <f>SUM(E71:E73)</f>
        <v>1935560</v>
      </c>
      <c r="F74" s="188"/>
      <c r="G74" s="188"/>
      <c r="H74" s="188"/>
      <c r="I74" s="180"/>
      <c r="J74" s="204"/>
    </row>
    <row r="75" spans="1:10" ht="18">
      <c r="A75" s="142"/>
      <c r="B75" s="375" t="s">
        <v>290</v>
      </c>
      <c r="C75" s="376"/>
      <c r="D75" s="181">
        <f>SUM(D74,D70)</f>
        <v>2361458</v>
      </c>
      <c r="E75" s="181">
        <f>SUM(E74,E70)</f>
        <v>2361458</v>
      </c>
      <c r="F75" s="188"/>
      <c r="G75" s="188"/>
      <c r="H75" s="188"/>
      <c r="I75" s="180"/>
      <c r="J75" s="204"/>
    </row>
    <row r="76" spans="1:10" ht="18">
      <c r="A76" s="136" t="s">
        <v>0</v>
      </c>
      <c r="B76" s="146" t="s">
        <v>408</v>
      </c>
      <c r="C76" s="138" t="s">
        <v>2</v>
      </c>
      <c r="D76" s="182">
        <v>0</v>
      </c>
      <c r="E76" s="182">
        <f aca="true" t="shared" si="0" ref="E76:E81">SUM(D18)</f>
        <v>464468</v>
      </c>
      <c r="F76" s="188"/>
      <c r="G76" s="188"/>
      <c r="H76" s="188"/>
      <c r="I76" s="180"/>
      <c r="J76" s="204"/>
    </row>
    <row r="77" spans="1:10" ht="18">
      <c r="A77" s="139" t="s">
        <v>406</v>
      </c>
      <c r="B77" s="147" t="s">
        <v>409</v>
      </c>
      <c r="C77" s="138" t="s">
        <v>3</v>
      </c>
      <c r="D77" s="182">
        <v>0</v>
      </c>
      <c r="E77" s="182">
        <f t="shared" si="0"/>
        <v>36584</v>
      </c>
      <c r="F77" s="188"/>
      <c r="G77" s="188"/>
      <c r="H77" s="188"/>
      <c r="I77" s="180"/>
      <c r="J77" s="204"/>
    </row>
    <row r="78" spans="1:10" ht="18">
      <c r="A78" s="139" t="s">
        <v>407</v>
      </c>
      <c r="B78" s="147"/>
      <c r="C78" s="138" t="s">
        <v>4</v>
      </c>
      <c r="D78" s="182">
        <v>0</v>
      </c>
      <c r="E78" s="182">
        <f t="shared" si="0"/>
        <v>36284</v>
      </c>
      <c r="F78" s="188"/>
      <c r="G78" s="188"/>
      <c r="H78" s="188"/>
      <c r="I78" s="180"/>
      <c r="J78" s="204"/>
    </row>
    <row r="79" spans="1:10" ht="18">
      <c r="A79" s="139"/>
      <c r="B79" s="147"/>
      <c r="C79" s="138" t="s">
        <v>449</v>
      </c>
      <c r="D79" s="182">
        <v>0</v>
      </c>
      <c r="E79" s="182">
        <f t="shared" si="0"/>
        <v>73768</v>
      </c>
      <c r="F79" s="188"/>
      <c r="G79" s="188"/>
      <c r="H79" s="188"/>
      <c r="I79" s="180"/>
      <c r="J79" s="204"/>
    </row>
    <row r="80" spans="1:10" ht="18">
      <c r="A80" s="139"/>
      <c r="B80" s="147"/>
      <c r="C80" s="138" t="s">
        <v>5</v>
      </c>
      <c r="D80" s="182">
        <v>0</v>
      </c>
      <c r="E80" s="182">
        <f t="shared" si="0"/>
        <v>1843862</v>
      </c>
      <c r="F80" s="188"/>
      <c r="G80" s="188"/>
      <c r="H80" s="188"/>
      <c r="I80" s="180"/>
      <c r="J80" s="204"/>
    </row>
    <row r="81" spans="1:10" ht="18">
      <c r="A81" s="139"/>
      <c r="B81" s="147"/>
      <c r="C81" s="138" t="s">
        <v>6</v>
      </c>
      <c r="D81" s="182">
        <v>0</v>
      </c>
      <c r="E81" s="182">
        <f t="shared" si="0"/>
        <v>76768</v>
      </c>
      <c r="F81" s="188"/>
      <c r="G81" s="188"/>
      <c r="H81" s="188"/>
      <c r="I81" s="180"/>
      <c r="J81" s="204"/>
    </row>
    <row r="82" spans="1:10" ht="18">
      <c r="A82" s="139"/>
      <c r="B82" s="148"/>
      <c r="C82" s="143" t="s">
        <v>288</v>
      </c>
      <c r="D82" s="182">
        <v>0</v>
      </c>
      <c r="E82" s="182">
        <f>SUM(E76:E81)</f>
        <v>2531734</v>
      </c>
      <c r="F82" s="188"/>
      <c r="G82" s="188"/>
      <c r="H82" s="188"/>
      <c r="I82" s="180"/>
      <c r="J82" s="204"/>
    </row>
    <row r="83" spans="1:10" ht="18">
      <c r="A83" s="142"/>
      <c r="B83" s="377" t="s">
        <v>290</v>
      </c>
      <c r="C83" s="376"/>
      <c r="D83" s="182">
        <v>0</v>
      </c>
      <c r="E83" s="182">
        <f>SUM(E82)</f>
        <v>2531734</v>
      </c>
      <c r="F83" s="188"/>
      <c r="G83" s="188"/>
      <c r="H83" s="188"/>
      <c r="I83" s="180"/>
      <c r="J83" s="204"/>
    </row>
    <row r="84" spans="1:10" ht="18">
      <c r="A84" s="133"/>
      <c r="B84" s="145"/>
      <c r="C84" s="133"/>
      <c r="D84" s="186"/>
      <c r="E84" s="204"/>
      <c r="F84" s="204"/>
      <c r="G84" s="186"/>
      <c r="H84" s="204"/>
      <c r="I84" s="180"/>
      <c r="J84" s="204"/>
    </row>
    <row r="85" spans="1:10" ht="18">
      <c r="A85" s="133"/>
      <c r="B85" s="145"/>
      <c r="C85" s="133"/>
      <c r="D85" s="186"/>
      <c r="E85" s="204"/>
      <c r="F85" s="204"/>
      <c r="G85" s="186"/>
      <c r="H85" s="204"/>
      <c r="I85" s="180"/>
      <c r="J85" s="204"/>
    </row>
    <row r="86" spans="1:10" ht="18">
      <c r="A86" s="133"/>
      <c r="B86" s="145"/>
      <c r="C86" s="133"/>
      <c r="D86" s="186"/>
      <c r="E86" s="204"/>
      <c r="F86" s="204"/>
      <c r="G86" s="186"/>
      <c r="H86" s="204"/>
      <c r="I86" s="180"/>
      <c r="J86" s="204"/>
    </row>
    <row r="87" spans="1:10" ht="18">
      <c r="A87" s="133"/>
      <c r="B87" s="145"/>
      <c r="C87" s="133"/>
      <c r="D87" s="186"/>
      <c r="E87" s="204"/>
      <c r="F87" s="204"/>
      <c r="G87" s="186"/>
      <c r="H87" s="204"/>
      <c r="I87" s="180"/>
      <c r="J87" s="204"/>
    </row>
    <row r="88" spans="1:10" ht="18">
      <c r="A88" s="133"/>
      <c r="B88" s="145"/>
      <c r="C88" s="133"/>
      <c r="D88" s="186"/>
      <c r="E88" s="204"/>
      <c r="F88" s="204"/>
      <c r="G88" s="186"/>
      <c r="H88" s="204"/>
      <c r="I88" s="180"/>
      <c r="J88" s="204"/>
    </row>
    <row r="89" spans="1:10" ht="18">
      <c r="A89" s="133"/>
      <c r="B89" s="145"/>
      <c r="C89" s="133"/>
      <c r="D89" s="186"/>
      <c r="E89" s="204"/>
      <c r="F89" s="204"/>
      <c r="G89" s="186"/>
      <c r="H89" s="204"/>
      <c r="I89" s="180"/>
      <c r="J89" s="204"/>
    </row>
    <row r="90" spans="1:10" ht="18">
      <c r="A90" s="133"/>
      <c r="B90" s="145"/>
      <c r="C90" s="133"/>
      <c r="D90" s="186"/>
      <c r="E90" s="204"/>
      <c r="F90" s="204"/>
      <c r="G90" s="186"/>
      <c r="H90" s="204"/>
      <c r="I90" s="180"/>
      <c r="J90" s="204"/>
    </row>
    <row r="91" spans="1:11" s="129" customFormat="1" ht="18">
      <c r="A91" s="150"/>
      <c r="B91" s="151"/>
      <c r="C91" s="152" t="s">
        <v>246</v>
      </c>
      <c r="D91" s="364" t="s">
        <v>238</v>
      </c>
      <c r="E91" s="365"/>
      <c r="F91" s="366"/>
      <c r="G91" s="199" t="s">
        <v>7</v>
      </c>
      <c r="H91" s="364" t="s">
        <v>240</v>
      </c>
      <c r="I91" s="366"/>
      <c r="J91" s="207" t="s">
        <v>444</v>
      </c>
      <c r="K91" s="299"/>
    </row>
    <row r="92" spans="1:11" s="129" customFormat="1" ht="18">
      <c r="A92" s="153"/>
      <c r="B92" s="144"/>
      <c r="C92" s="154"/>
      <c r="D92" s="367"/>
      <c r="E92" s="368"/>
      <c r="F92" s="369"/>
      <c r="G92" s="200" t="s">
        <v>8</v>
      </c>
      <c r="H92" s="367"/>
      <c r="I92" s="369"/>
      <c r="J92" s="172" t="s">
        <v>445</v>
      </c>
      <c r="K92" s="299"/>
    </row>
    <row r="93" spans="1:11" s="129" customFormat="1" ht="18">
      <c r="A93" s="173" t="s">
        <v>245</v>
      </c>
      <c r="B93" s="174"/>
      <c r="C93" s="154"/>
      <c r="D93" s="179" t="s">
        <v>260</v>
      </c>
      <c r="E93" s="179" t="s">
        <v>416</v>
      </c>
      <c r="F93" s="179" t="s">
        <v>260</v>
      </c>
      <c r="G93" s="179" t="s">
        <v>446</v>
      </c>
      <c r="H93" s="201" t="s">
        <v>412</v>
      </c>
      <c r="I93" s="199" t="s">
        <v>379</v>
      </c>
      <c r="J93" s="179" t="s">
        <v>412</v>
      </c>
      <c r="K93" s="299"/>
    </row>
    <row r="94" spans="1:11" s="129" customFormat="1" ht="18">
      <c r="A94" s="216"/>
      <c r="B94" s="208"/>
      <c r="C94" s="217"/>
      <c r="D94" s="191" t="s">
        <v>257</v>
      </c>
      <c r="E94" s="191" t="s">
        <v>417</v>
      </c>
      <c r="F94" s="191" t="s">
        <v>259</v>
      </c>
      <c r="G94" s="191" t="s">
        <v>447</v>
      </c>
      <c r="H94" s="200" t="s">
        <v>241</v>
      </c>
      <c r="I94" s="200" t="s">
        <v>380</v>
      </c>
      <c r="J94" s="191" t="s">
        <v>448</v>
      </c>
      <c r="K94" s="299"/>
    </row>
    <row r="95" spans="1:10" ht="18">
      <c r="A95" s="136" t="s">
        <v>0</v>
      </c>
      <c r="B95" s="163" t="s">
        <v>408</v>
      </c>
      <c r="C95" s="161" t="s">
        <v>247</v>
      </c>
      <c r="D95" s="181">
        <f>1300000-93190-93190</f>
        <v>1113620</v>
      </c>
      <c r="E95" s="181" t="s">
        <v>276</v>
      </c>
      <c r="F95" s="181">
        <f>800000-58560-58560</f>
        <v>682880</v>
      </c>
      <c r="G95" s="181" t="s">
        <v>276</v>
      </c>
      <c r="H95" s="181">
        <f>172000-12240-12240</f>
        <v>147520</v>
      </c>
      <c r="I95" s="181" t="s">
        <v>276</v>
      </c>
      <c r="J95" s="181">
        <v>180000</v>
      </c>
    </row>
    <row r="96" spans="1:10" ht="18">
      <c r="A96" s="139" t="s">
        <v>430</v>
      </c>
      <c r="B96" s="164" t="s">
        <v>409</v>
      </c>
      <c r="C96" s="161" t="s">
        <v>248</v>
      </c>
      <c r="D96" s="181">
        <f>230000-16170-16170</f>
        <v>197660</v>
      </c>
      <c r="E96" s="181" t="s">
        <v>276</v>
      </c>
      <c r="F96" s="181">
        <f>165000-10930-10930</f>
        <v>143140</v>
      </c>
      <c r="G96" s="181" t="s">
        <v>276</v>
      </c>
      <c r="H96" s="181">
        <f>24000-2760-2760</f>
        <v>18480</v>
      </c>
      <c r="I96" s="181" t="s">
        <v>276</v>
      </c>
      <c r="J96" s="181">
        <v>5000</v>
      </c>
    </row>
    <row r="97" spans="1:10" ht="18">
      <c r="A97" s="160" t="s">
        <v>431</v>
      </c>
      <c r="B97" s="164"/>
      <c r="C97" s="161" t="s">
        <v>249</v>
      </c>
      <c r="D97" s="181">
        <f>100000-3500-3500</f>
        <v>93000</v>
      </c>
      <c r="E97" s="181" t="s">
        <v>276</v>
      </c>
      <c r="F97" s="181" t="s">
        <v>276</v>
      </c>
      <c r="G97" s="181" t="s">
        <v>276</v>
      </c>
      <c r="H97" s="181" t="s">
        <v>276</v>
      </c>
      <c r="I97" s="181" t="s">
        <v>276</v>
      </c>
      <c r="J97" s="181" t="s">
        <v>276</v>
      </c>
    </row>
    <row r="98" spans="1:10" ht="18">
      <c r="A98" s="160"/>
      <c r="B98" s="164"/>
      <c r="C98" s="161" t="s">
        <v>250</v>
      </c>
      <c r="D98" s="181">
        <f>132000-9710-9710</f>
        <v>112580</v>
      </c>
      <c r="E98" s="181" t="s">
        <v>276</v>
      </c>
      <c r="F98" s="181" t="s">
        <v>276</v>
      </c>
      <c r="G98" s="181" t="s">
        <v>276</v>
      </c>
      <c r="H98" s="181" t="s">
        <v>276</v>
      </c>
      <c r="I98" s="181" t="s">
        <v>276</v>
      </c>
      <c r="J98" s="181" t="s">
        <v>276</v>
      </c>
    </row>
    <row r="99" spans="1:10" ht="18">
      <c r="A99" s="160"/>
      <c r="B99" s="164"/>
      <c r="C99" s="161" t="s">
        <v>251</v>
      </c>
      <c r="D99" s="181">
        <f>20000-1500-1500</f>
        <v>17000</v>
      </c>
      <c r="E99" s="181" t="s">
        <v>276</v>
      </c>
      <c r="F99" s="181" t="s">
        <v>276</v>
      </c>
      <c r="G99" s="181" t="s">
        <v>276</v>
      </c>
      <c r="H99" s="181" t="s">
        <v>276</v>
      </c>
      <c r="I99" s="181" t="s">
        <v>276</v>
      </c>
      <c r="J99" s="181" t="s">
        <v>276</v>
      </c>
    </row>
    <row r="100" spans="1:10" ht="18">
      <c r="A100" s="160"/>
      <c r="B100" s="164"/>
      <c r="C100" s="161" t="s">
        <v>252</v>
      </c>
      <c r="D100" s="181">
        <f>85000-6530-6530</f>
        <v>71940</v>
      </c>
      <c r="E100" s="181" t="s">
        <v>276</v>
      </c>
      <c r="F100" s="181">
        <f>236000-13290-13290</f>
        <v>209420</v>
      </c>
      <c r="G100" s="181" t="s">
        <v>276</v>
      </c>
      <c r="H100" s="181">
        <f>220000-13528-19820</f>
        <v>186652</v>
      </c>
      <c r="I100" s="181" t="s">
        <v>276</v>
      </c>
      <c r="J100" s="181">
        <f>75000-5340-5340</f>
        <v>64320</v>
      </c>
    </row>
    <row r="101" spans="1:10" ht="18">
      <c r="A101" s="160"/>
      <c r="B101" s="164"/>
      <c r="C101" s="161" t="s">
        <v>253</v>
      </c>
      <c r="D101" s="181">
        <f>33000-2470-2470</f>
        <v>28060</v>
      </c>
      <c r="E101" s="181" t="s">
        <v>276</v>
      </c>
      <c r="F101" s="181">
        <f>63000-5160-5160</f>
        <v>52680</v>
      </c>
      <c r="G101" s="181" t="s">
        <v>276</v>
      </c>
      <c r="H101" s="181">
        <f>150000-9272-13180</f>
        <v>127548</v>
      </c>
      <c r="I101" s="181" t="s">
        <v>276</v>
      </c>
      <c r="J101" s="181">
        <f>45000-3660-3660</f>
        <v>37680</v>
      </c>
    </row>
    <row r="102" spans="1:10" ht="18">
      <c r="A102" s="160"/>
      <c r="B102" s="164"/>
      <c r="C102" s="143" t="s">
        <v>288</v>
      </c>
      <c r="D102" s="181">
        <f>SUM(D95:D101)</f>
        <v>1633860</v>
      </c>
      <c r="E102" s="181" t="s">
        <v>276</v>
      </c>
      <c r="F102" s="181">
        <f>SUM(F95:F101)</f>
        <v>1088120</v>
      </c>
      <c r="G102" s="181" t="s">
        <v>276</v>
      </c>
      <c r="H102" s="181">
        <f>SUM(H95:H101)</f>
        <v>480200</v>
      </c>
      <c r="I102" s="181" t="s">
        <v>276</v>
      </c>
      <c r="J102" s="181">
        <f>SUM(J95:J101)</f>
        <v>287000</v>
      </c>
    </row>
    <row r="103" spans="1:10" ht="18">
      <c r="A103" s="160"/>
      <c r="B103" s="163" t="s">
        <v>52</v>
      </c>
      <c r="C103" s="241" t="s">
        <v>252</v>
      </c>
      <c r="D103" s="181">
        <v>0</v>
      </c>
      <c r="E103" s="181">
        <v>0</v>
      </c>
      <c r="F103" s="181">
        <v>0</v>
      </c>
      <c r="G103" s="181">
        <v>0</v>
      </c>
      <c r="H103" s="181">
        <v>0</v>
      </c>
      <c r="I103" s="181">
        <v>5340</v>
      </c>
      <c r="J103" s="181">
        <v>0</v>
      </c>
    </row>
    <row r="104" spans="1:10" ht="18">
      <c r="A104" s="160"/>
      <c r="B104" s="164" t="s">
        <v>410</v>
      </c>
      <c r="C104" s="241" t="s">
        <v>469</v>
      </c>
      <c r="D104" s="181">
        <v>0</v>
      </c>
      <c r="E104" s="181">
        <v>0</v>
      </c>
      <c r="F104" s="181">
        <v>0</v>
      </c>
      <c r="G104" s="181">
        <v>0</v>
      </c>
      <c r="H104" s="181">
        <v>0</v>
      </c>
      <c r="I104" s="181">
        <v>3660</v>
      </c>
      <c r="J104" s="181">
        <v>0</v>
      </c>
    </row>
    <row r="105" spans="1:10" ht="18">
      <c r="A105" s="160"/>
      <c r="B105" s="149" t="s">
        <v>411</v>
      </c>
      <c r="C105" s="143" t="s">
        <v>289</v>
      </c>
      <c r="D105" s="181">
        <f aca="true" t="shared" si="1" ref="D105:J105">SUM(D103:D104)</f>
        <v>0</v>
      </c>
      <c r="E105" s="181">
        <f t="shared" si="1"/>
        <v>0</v>
      </c>
      <c r="F105" s="181">
        <f t="shared" si="1"/>
        <v>0</v>
      </c>
      <c r="G105" s="181">
        <f t="shared" si="1"/>
        <v>0</v>
      </c>
      <c r="H105" s="181">
        <f t="shared" si="1"/>
        <v>0</v>
      </c>
      <c r="I105" s="181">
        <f t="shared" si="1"/>
        <v>9000</v>
      </c>
      <c r="J105" s="181">
        <f t="shared" si="1"/>
        <v>0</v>
      </c>
    </row>
    <row r="106" spans="1:10" ht="18">
      <c r="A106" s="142"/>
      <c r="B106" s="377" t="s">
        <v>290</v>
      </c>
      <c r="C106" s="376"/>
      <c r="D106" s="181">
        <f>D102</f>
        <v>1633860</v>
      </c>
      <c r="E106" s="181" t="s">
        <v>276</v>
      </c>
      <c r="F106" s="181">
        <f>F102</f>
        <v>1088120</v>
      </c>
      <c r="G106" s="181" t="s">
        <v>276</v>
      </c>
      <c r="H106" s="181">
        <f>H102</f>
        <v>480200</v>
      </c>
      <c r="I106" s="181" t="s">
        <v>276</v>
      </c>
      <c r="J106" s="181">
        <f>SUM(J102)</f>
        <v>287000</v>
      </c>
    </row>
    <row r="107" spans="1:10" ht="18">
      <c r="A107" s="136" t="s">
        <v>432</v>
      </c>
      <c r="B107" s="163" t="s">
        <v>408</v>
      </c>
      <c r="C107" s="138" t="s">
        <v>14</v>
      </c>
      <c r="D107" s="181">
        <f>500000-3200</f>
        <v>496800</v>
      </c>
      <c r="E107" s="181" t="s">
        <v>276</v>
      </c>
      <c r="F107" s="181">
        <v>243000</v>
      </c>
      <c r="G107" s="181" t="s">
        <v>276</v>
      </c>
      <c r="H107" s="181">
        <v>130000</v>
      </c>
      <c r="I107" s="181" t="s">
        <v>276</v>
      </c>
      <c r="J107" s="181">
        <v>20000</v>
      </c>
    </row>
    <row r="108" spans="1:10" ht="18">
      <c r="A108" s="139" t="s">
        <v>433</v>
      </c>
      <c r="B108" s="164" t="s">
        <v>409</v>
      </c>
      <c r="C108" s="137" t="s">
        <v>404</v>
      </c>
      <c r="D108" s="181">
        <v>30000</v>
      </c>
      <c r="E108" s="181" t="s">
        <v>276</v>
      </c>
      <c r="F108" s="181">
        <f>30000-7900</f>
        <v>22100</v>
      </c>
      <c r="G108" s="181" t="s">
        <v>276</v>
      </c>
      <c r="H108" s="181">
        <v>10000</v>
      </c>
      <c r="I108" s="181" t="s">
        <v>276</v>
      </c>
      <c r="J108" s="181">
        <v>3000</v>
      </c>
    </row>
    <row r="109" spans="1:10" ht="18">
      <c r="A109" s="139"/>
      <c r="B109" s="147"/>
      <c r="C109" s="140" t="s">
        <v>254</v>
      </c>
      <c r="D109" s="181">
        <f>50000-2400-1250-2400-1600</f>
        <v>42350</v>
      </c>
      <c r="E109" s="181" t="s">
        <v>276</v>
      </c>
      <c r="F109" s="181">
        <f>24000-1600-1950</f>
        <v>20450</v>
      </c>
      <c r="G109" s="181" t="s">
        <v>276</v>
      </c>
      <c r="H109" s="181">
        <v>30000</v>
      </c>
      <c r="I109" s="181" t="s">
        <v>276</v>
      </c>
      <c r="J109" s="181" t="s">
        <v>276</v>
      </c>
    </row>
    <row r="110" spans="1:10" ht="18">
      <c r="A110" s="139"/>
      <c r="B110" s="147"/>
      <c r="C110" s="161" t="s">
        <v>405</v>
      </c>
      <c r="D110" s="181">
        <f>15000-3404</f>
        <v>11596</v>
      </c>
      <c r="E110" s="181" t="s">
        <v>276</v>
      </c>
      <c r="F110" s="181">
        <v>5000</v>
      </c>
      <c r="G110" s="181" t="s">
        <v>276</v>
      </c>
      <c r="H110" s="181" t="s">
        <v>276</v>
      </c>
      <c r="I110" s="181" t="s">
        <v>276</v>
      </c>
      <c r="J110" s="181" t="s">
        <v>276</v>
      </c>
    </row>
    <row r="111" spans="1:10" ht="18">
      <c r="A111" s="139"/>
      <c r="B111" s="147"/>
      <c r="C111" s="161" t="s">
        <v>267</v>
      </c>
      <c r="D111" s="181">
        <f>100000-309.75-1230-2125</f>
        <v>96335.25</v>
      </c>
      <c r="E111" s="181" t="s">
        <v>276</v>
      </c>
      <c r="F111" s="181">
        <f>50000-980</f>
        <v>49020</v>
      </c>
      <c r="G111" s="181" t="s">
        <v>276</v>
      </c>
      <c r="H111" s="181">
        <f>10000-640</f>
        <v>9360</v>
      </c>
      <c r="I111" s="181" t="s">
        <v>276</v>
      </c>
      <c r="J111" s="181" t="s">
        <v>276</v>
      </c>
    </row>
    <row r="112" spans="1:10" ht="18">
      <c r="A112" s="139"/>
      <c r="B112" s="148"/>
      <c r="C112" s="143" t="s">
        <v>288</v>
      </c>
      <c r="D112" s="181">
        <f>SUM(D107:D111)</f>
        <v>677081.25</v>
      </c>
      <c r="E112" s="181" t="s">
        <v>276</v>
      </c>
      <c r="F112" s="181">
        <f>SUM(F107:F111)</f>
        <v>339570</v>
      </c>
      <c r="G112" s="181" t="s">
        <v>276</v>
      </c>
      <c r="H112" s="181">
        <f>SUM(H107:H111)</f>
        <v>179360</v>
      </c>
      <c r="I112" s="181" t="s">
        <v>276</v>
      </c>
      <c r="J112" s="181">
        <f>SUM(J107:J111)</f>
        <v>23000</v>
      </c>
    </row>
    <row r="113" spans="1:10" ht="18">
      <c r="A113" s="142"/>
      <c r="B113" s="377" t="s">
        <v>290</v>
      </c>
      <c r="C113" s="376"/>
      <c r="D113" s="181">
        <f>D112</f>
        <v>677081.25</v>
      </c>
      <c r="E113" s="181" t="s">
        <v>276</v>
      </c>
      <c r="F113" s="181">
        <f>F112</f>
        <v>339570</v>
      </c>
      <c r="G113" s="181" t="s">
        <v>276</v>
      </c>
      <c r="H113" s="181">
        <f>H112</f>
        <v>179360</v>
      </c>
      <c r="I113" s="181" t="s">
        <v>276</v>
      </c>
      <c r="J113" s="181">
        <v>23000</v>
      </c>
    </row>
    <row r="114" spans="1:10" ht="18">
      <c r="A114" s="136" t="s">
        <v>24</v>
      </c>
      <c r="B114" s="163" t="s">
        <v>408</v>
      </c>
      <c r="C114" s="138" t="s">
        <v>268</v>
      </c>
      <c r="D114" s="181">
        <f>405000-200-3000-500-7000-5000-4500</f>
        <v>384800</v>
      </c>
      <c r="E114" s="181" t="s">
        <v>276</v>
      </c>
      <c r="F114" s="181">
        <f>60000-11800</f>
        <v>48200</v>
      </c>
      <c r="G114" s="181" t="s">
        <v>276</v>
      </c>
      <c r="H114" s="181">
        <v>110000</v>
      </c>
      <c r="I114" s="181" t="s">
        <v>276</v>
      </c>
      <c r="J114" s="181">
        <v>15000</v>
      </c>
    </row>
    <row r="115" spans="1:10" ht="18">
      <c r="A115" s="139"/>
      <c r="B115" s="164" t="s">
        <v>409</v>
      </c>
      <c r="C115" s="136" t="s">
        <v>16</v>
      </c>
      <c r="D115" s="181">
        <f>20000-750</f>
        <v>19250</v>
      </c>
      <c r="E115" s="181" t="s">
        <v>276</v>
      </c>
      <c r="F115" s="181" t="s">
        <v>276</v>
      </c>
      <c r="G115" s="181" t="s">
        <v>276</v>
      </c>
      <c r="H115" s="181">
        <v>10000</v>
      </c>
      <c r="I115" s="181" t="s">
        <v>276</v>
      </c>
      <c r="J115" s="181" t="s">
        <v>276</v>
      </c>
    </row>
    <row r="116" spans="1:10" ht="18">
      <c r="A116" s="139"/>
      <c r="B116" s="164"/>
      <c r="C116" s="138" t="s">
        <v>15</v>
      </c>
      <c r="D116" s="182">
        <f>478290-1200-2660</f>
        <v>474430</v>
      </c>
      <c r="E116" s="181">
        <v>15000</v>
      </c>
      <c r="F116" s="181">
        <v>60000</v>
      </c>
      <c r="G116" s="182">
        <v>230000</v>
      </c>
      <c r="H116" s="181">
        <v>20000</v>
      </c>
      <c r="I116" s="182">
        <v>85000</v>
      </c>
      <c r="J116" s="181">
        <v>5000</v>
      </c>
    </row>
    <row r="117" spans="1:10" ht="18">
      <c r="A117" s="139"/>
      <c r="B117" s="147"/>
      <c r="C117" s="138" t="s">
        <v>269</v>
      </c>
      <c r="D117" s="181">
        <f>20000-1280-930</f>
        <v>17790</v>
      </c>
      <c r="E117" s="181" t="s">
        <v>276</v>
      </c>
      <c r="F117" s="181">
        <f>10000-1200</f>
        <v>8800</v>
      </c>
      <c r="G117" s="181" t="s">
        <v>276</v>
      </c>
      <c r="H117" s="181">
        <v>15000</v>
      </c>
      <c r="I117" s="181" t="s">
        <v>276</v>
      </c>
      <c r="J117" s="181">
        <v>10000</v>
      </c>
    </row>
    <row r="118" spans="1:10" ht="18">
      <c r="A118" s="139"/>
      <c r="B118" s="147"/>
      <c r="C118" s="141" t="s">
        <v>288</v>
      </c>
      <c r="D118" s="181">
        <f>SUM(D114:D117)</f>
        <v>896270</v>
      </c>
      <c r="E118" s="181">
        <v>15000</v>
      </c>
      <c r="F118" s="181">
        <f>SUM(F114:F117)</f>
        <v>117000</v>
      </c>
      <c r="G118" s="181">
        <v>230000</v>
      </c>
      <c r="H118" s="181">
        <f>SUM(H114:H117)</f>
        <v>155000</v>
      </c>
      <c r="I118" s="181">
        <v>85000</v>
      </c>
      <c r="J118" s="181">
        <f>SUM(J114:J117)</f>
        <v>30000</v>
      </c>
    </row>
    <row r="119" spans="1:10" ht="18">
      <c r="A119" s="142"/>
      <c r="B119" s="377" t="s">
        <v>290</v>
      </c>
      <c r="C119" s="376"/>
      <c r="D119" s="181">
        <f>SUM(D118)</f>
        <v>896270</v>
      </c>
      <c r="E119" s="181">
        <v>15000</v>
      </c>
      <c r="F119" s="181">
        <f>SUM(F118)</f>
        <v>117000</v>
      </c>
      <c r="G119" s="181">
        <v>230000</v>
      </c>
      <c r="H119" s="181">
        <f>SUM(H118)</f>
        <v>155000</v>
      </c>
      <c r="I119" s="181">
        <v>85000</v>
      </c>
      <c r="J119" s="181">
        <f>SUM(J118)</f>
        <v>30000</v>
      </c>
    </row>
    <row r="120" spans="1:10" ht="18">
      <c r="A120" s="166"/>
      <c r="B120" s="167"/>
      <c r="C120" s="167"/>
      <c r="D120" s="188"/>
      <c r="E120" s="188"/>
      <c r="F120" s="188"/>
      <c r="G120" s="188"/>
      <c r="H120" s="188"/>
      <c r="I120" s="188"/>
      <c r="J120" s="188"/>
    </row>
    <row r="121" spans="1:11" s="129" customFormat="1" ht="18">
      <c r="A121" s="150"/>
      <c r="B121" s="151"/>
      <c r="C121" s="300" t="s">
        <v>246</v>
      </c>
      <c r="D121" s="199" t="s">
        <v>283</v>
      </c>
      <c r="E121" s="179" t="s">
        <v>9</v>
      </c>
      <c r="F121" s="391" t="s">
        <v>424</v>
      </c>
      <c r="G121" s="392"/>
      <c r="H121" s="395" t="s">
        <v>427</v>
      </c>
      <c r="I121" s="396"/>
      <c r="J121" s="227" t="s">
        <v>283</v>
      </c>
      <c r="K121" s="299"/>
    </row>
    <row r="122" spans="1:11" s="129" customFormat="1" ht="18">
      <c r="A122" s="153"/>
      <c r="B122" s="399"/>
      <c r="C122" s="399"/>
      <c r="D122" s="200" t="s">
        <v>418</v>
      </c>
      <c r="E122" s="191" t="s">
        <v>10</v>
      </c>
      <c r="F122" s="393"/>
      <c r="G122" s="394"/>
      <c r="H122" s="397"/>
      <c r="I122" s="398"/>
      <c r="J122" s="228" t="s">
        <v>450</v>
      </c>
      <c r="K122" s="299"/>
    </row>
    <row r="123" spans="1:11" s="129" customFormat="1" ht="18">
      <c r="A123" s="173" t="s">
        <v>245</v>
      </c>
      <c r="B123" s="174"/>
      <c r="C123" s="154"/>
      <c r="D123" s="198" t="s">
        <v>413</v>
      </c>
      <c r="E123" s="198" t="s">
        <v>419</v>
      </c>
      <c r="F123" s="179" t="s">
        <v>419</v>
      </c>
      <c r="G123" s="386" t="s">
        <v>11</v>
      </c>
      <c r="H123" s="198" t="s">
        <v>12</v>
      </c>
      <c r="I123" s="199" t="s">
        <v>425</v>
      </c>
      <c r="J123" s="179" t="s">
        <v>428</v>
      </c>
      <c r="K123" s="299"/>
    </row>
    <row r="124" spans="1:11" s="129" customFormat="1" ht="18">
      <c r="A124" s="173"/>
      <c r="B124" s="174"/>
      <c r="C124" s="154"/>
      <c r="D124" s="198" t="s">
        <v>421</v>
      </c>
      <c r="E124" s="198" t="s">
        <v>420</v>
      </c>
      <c r="F124" s="198" t="s">
        <v>422</v>
      </c>
      <c r="G124" s="387"/>
      <c r="H124" s="198" t="s">
        <v>13</v>
      </c>
      <c r="I124" s="201" t="s">
        <v>426</v>
      </c>
      <c r="J124" s="198" t="s">
        <v>429</v>
      </c>
      <c r="K124" s="299"/>
    </row>
    <row r="125" spans="1:11" s="129" customFormat="1" ht="18">
      <c r="A125" s="216"/>
      <c r="B125" s="208"/>
      <c r="C125" s="217"/>
      <c r="D125" s="191" t="s">
        <v>414</v>
      </c>
      <c r="E125" s="191" t="s">
        <v>10</v>
      </c>
      <c r="F125" s="191" t="s">
        <v>423</v>
      </c>
      <c r="G125" s="388"/>
      <c r="H125" s="303"/>
      <c r="I125" s="304"/>
      <c r="J125" s="303"/>
      <c r="K125" s="299"/>
    </row>
    <row r="126" spans="1:10" ht="18">
      <c r="A126" s="136" t="s">
        <v>0</v>
      </c>
      <c r="B126" s="163" t="s">
        <v>408</v>
      </c>
      <c r="C126" s="161" t="s">
        <v>247</v>
      </c>
      <c r="D126" s="157" t="s">
        <v>276</v>
      </c>
      <c r="E126" s="181" t="s">
        <v>276</v>
      </c>
      <c r="F126" s="181">
        <f>450000-31030-31030</f>
        <v>387940</v>
      </c>
      <c r="G126" s="181" t="s">
        <v>276</v>
      </c>
      <c r="H126" s="181" t="s">
        <v>276</v>
      </c>
      <c r="I126" s="181" t="s">
        <v>276</v>
      </c>
      <c r="J126" s="185" t="s">
        <v>276</v>
      </c>
    </row>
    <row r="127" spans="1:10" ht="18">
      <c r="A127" s="139" t="s">
        <v>430</v>
      </c>
      <c r="B127" s="164" t="s">
        <v>409</v>
      </c>
      <c r="C127" s="161" t="s">
        <v>248</v>
      </c>
      <c r="D127" s="157" t="s">
        <v>276</v>
      </c>
      <c r="E127" s="181" t="s">
        <v>276</v>
      </c>
      <c r="F127" s="181">
        <f>15000-665-665</f>
        <v>13670</v>
      </c>
      <c r="G127" s="181" t="s">
        <v>276</v>
      </c>
      <c r="H127" s="181" t="s">
        <v>276</v>
      </c>
      <c r="I127" s="181" t="s">
        <v>276</v>
      </c>
      <c r="J127" s="181" t="s">
        <v>276</v>
      </c>
    </row>
    <row r="128" spans="1:10" ht="18">
      <c r="A128" s="160" t="s">
        <v>431</v>
      </c>
      <c r="B128" s="164"/>
      <c r="C128" s="161" t="s">
        <v>249</v>
      </c>
      <c r="D128" s="157" t="s">
        <v>276</v>
      </c>
      <c r="E128" s="181" t="s">
        <v>276</v>
      </c>
      <c r="F128" s="181" t="s">
        <v>276</v>
      </c>
      <c r="G128" s="181" t="s">
        <v>276</v>
      </c>
      <c r="H128" s="181" t="s">
        <v>276</v>
      </c>
      <c r="I128" s="181" t="s">
        <v>276</v>
      </c>
      <c r="J128" s="181" t="s">
        <v>276</v>
      </c>
    </row>
    <row r="129" spans="1:10" ht="18">
      <c r="A129" s="160"/>
      <c r="B129" s="164"/>
      <c r="C129" s="161" t="s">
        <v>250</v>
      </c>
      <c r="D129" s="157" t="s">
        <v>276</v>
      </c>
      <c r="E129" s="181" t="s">
        <v>276</v>
      </c>
      <c r="F129" s="181" t="s">
        <v>276</v>
      </c>
      <c r="G129" s="181" t="s">
        <v>276</v>
      </c>
      <c r="H129" s="181" t="s">
        <v>276</v>
      </c>
      <c r="I129" s="181" t="s">
        <v>276</v>
      </c>
      <c r="J129" s="181" t="s">
        <v>276</v>
      </c>
    </row>
    <row r="130" spans="1:10" ht="18">
      <c r="A130" s="160"/>
      <c r="B130" s="164"/>
      <c r="C130" s="161" t="s">
        <v>251</v>
      </c>
      <c r="D130" s="157" t="s">
        <v>276</v>
      </c>
      <c r="E130" s="181" t="s">
        <v>276</v>
      </c>
      <c r="F130" s="181" t="s">
        <v>276</v>
      </c>
      <c r="G130" s="181" t="s">
        <v>276</v>
      </c>
      <c r="H130" s="181" t="s">
        <v>276</v>
      </c>
      <c r="I130" s="181" t="s">
        <v>276</v>
      </c>
      <c r="J130" s="181" t="s">
        <v>276</v>
      </c>
    </row>
    <row r="131" spans="1:10" ht="18">
      <c r="A131" s="160"/>
      <c r="B131" s="164"/>
      <c r="C131" s="161" t="s">
        <v>252</v>
      </c>
      <c r="D131" s="157" t="s">
        <v>276</v>
      </c>
      <c r="E131" s="181" t="s">
        <v>276</v>
      </c>
      <c r="F131" s="181">
        <f>165000-12390-12390</f>
        <v>140220</v>
      </c>
      <c r="G131" s="181" t="s">
        <v>276</v>
      </c>
      <c r="H131" s="181" t="s">
        <v>276</v>
      </c>
      <c r="I131" s="181" t="s">
        <v>276</v>
      </c>
      <c r="J131" s="181" t="s">
        <v>276</v>
      </c>
    </row>
    <row r="132" spans="1:10" ht="18">
      <c r="A132" s="160"/>
      <c r="B132" s="164"/>
      <c r="C132" s="161" t="s">
        <v>253</v>
      </c>
      <c r="D132" s="157" t="s">
        <v>276</v>
      </c>
      <c r="E132" s="181" t="s">
        <v>276</v>
      </c>
      <c r="F132" s="181">
        <f>72000-5610-5610</f>
        <v>60780</v>
      </c>
      <c r="G132" s="181" t="s">
        <v>276</v>
      </c>
      <c r="H132" s="181" t="s">
        <v>276</v>
      </c>
      <c r="I132" s="181" t="s">
        <v>276</v>
      </c>
      <c r="J132" s="181" t="s">
        <v>276</v>
      </c>
    </row>
    <row r="133" spans="1:10" ht="18">
      <c r="A133" s="160"/>
      <c r="B133" s="149"/>
      <c r="C133" s="143" t="s">
        <v>288</v>
      </c>
      <c r="D133" s="157" t="s">
        <v>276</v>
      </c>
      <c r="E133" s="181" t="s">
        <v>276</v>
      </c>
      <c r="F133" s="181">
        <f>SUM(F126:F132)</f>
        <v>602610</v>
      </c>
      <c r="G133" s="181" t="s">
        <v>276</v>
      </c>
      <c r="H133" s="181" t="s">
        <v>276</v>
      </c>
      <c r="I133" s="181" t="s">
        <v>276</v>
      </c>
      <c r="J133" s="181" t="s">
        <v>276</v>
      </c>
    </row>
    <row r="134" spans="1:10" ht="18">
      <c r="A134" s="142"/>
      <c r="B134" s="377" t="s">
        <v>290</v>
      </c>
      <c r="C134" s="376"/>
      <c r="D134" s="157" t="s">
        <v>276</v>
      </c>
      <c r="E134" s="181" t="s">
        <v>276</v>
      </c>
      <c r="F134" s="181">
        <v>0</v>
      </c>
      <c r="G134" s="181" t="s">
        <v>276</v>
      </c>
      <c r="H134" s="181" t="s">
        <v>276</v>
      </c>
      <c r="I134" s="181" t="s">
        <v>276</v>
      </c>
      <c r="J134" s="181" t="s">
        <v>276</v>
      </c>
    </row>
    <row r="135" spans="1:10" ht="18">
      <c r="A135" s="136" t="s">
        <v>432</v>
      </c>
      <c r="B135" s="163" t="s">
        <v>408</v>
      </c>
      <c r="C135" s="138" t="s">
        <v>14</v>
      </c>
      <c r="D135" s="157" t="s">
        <v>276</v>
      </c>
      <c r="E135" s="181" t="s">
        <v>276</v>
      </c>
      <c r="F135" s="181">
        <v>230000</v>
      </c>
      <c r="G135" s="181" t="s">
        <v>276</v>
      </c>
      <c r="H135" s="181" t="s">
        <v>276</v>
      </c>
      <c r="I135" s="181" t="s">
        <v>276</v>
      </c>
      <c r="J135" s="181" t="s">
        <v>276</v>
      </c>
    </row>
    <row r="136" spans="1:10" ht="18">
      <c r="A136" s="139" t="s">
        <v>433</v>
      </c>
      <c r="B136" s="164" t="s">
        <v>409</v>
      </c>
      <c r="C136" s="138" t="s">
        <v>404</v>
      </c>
      <c r="D136" s="157" t="s">
        <v>276</v>
      </c>
      <c r="E136" s="181" t="s">
        <v>276</v>
      </c>
      <c r="F136" s="181">
        <v>10000</v>
      </c>
      <c r="G136" s="181" t="s">
        <v>276</v>
      </c>
      <c r="H136" s="181" t="s">
        <v>276</v>
      </c>
      <c r="I136" s="181" t="s">
        <v>276</v>
      </c>
      <c r="J136" s="181" t="s">
        <v>276</v>
      </c>
    </row>
    <row r="137" spans="1:10" ht="18">
      <c r="A137" s="139"/>
      <c r="B137" s="147"/>
      <c r="C137" s="140" t="s">
        <v>254</v>
      </c>
      <c r="D137" s="157" t="s">
        <v>276</v>
      </c>
      <c r="E137" s="181" t="s">
        <v>276</v>
      </c>
      <c r="F137" s="181">
        <f>60000-1950-3000-1950</f>
        <v>53100</v>
      </c>
      <c r="G137" s="181" t="s">
        <v>276</v>
      </c>
      <c r="H137" s="181" t="s">
        <v>276</v>
      </c>
      <c r="I137" s="181" t="s">
        <v>276</v>
      </c>
      <c r="J137" s="181" t="s">
        <v>276</v>
      </c>
    </row>
    <row r="138" spans="1:10" ht="18">
      <c r="A138" s="139"/>
      <c r="B138" s="147"/>
      <c r="C138" s="161" t="s">
        <v>405</v>
      </c>
      <c r="D138" s="157" t="s">
        <v>276</v>
      </c>
      <c r="E138" s="181" t="s">
        <v>276</v>
      </c>
      <c r="F138" s="181">
        <v>5000</v>
      </c>
      <c r="G138" s="181" t="s">
        <v>276</v>
      </c>
      <c r="H138" s="181" t="s">
        <v>276</v>
      </c>
      <c r="I138" s="181" t="s">
        <v>276</v>
      </c>
      <c r="J138" s="181" t="s">
        <v>276</v>
      </c>
    </row>
    <row r="139" spans="1:10" ht="18">
      <c r="A139" s="139"/>
      <c r="B139" s="147"/>
      <c r="C139" s="161" t="s">
        <v>267</v>
      </c>
      <c r="D139" s="157" t="s">
        <v>276</v>
      </c>
      <c r="E139" s="181" t="s">
        <v>276</v>
      </c>
      <c r="F139" s="181">
        <v>20000</v>
      </c>
      <c r="G139" s="181" t="s">
        <v>276</v>
      </c>
      <c r="H139" s="181" t="s">
        <v>276</v>
      </c>
      <c r="I139" s="181" t="s">
        <v>276</v>
      </c>
      <c r="J139" s="181" t="s">
        <v>276</v>
      </c>
    </row>
    <row r="140" spans="1:10" ht="18">
      <c r="A140" s="139"/>
      <c r="B140" s="148"/>
      <c r="C140" s="143" t="s">
        <v>288</v>
      </c>
      <c r="D140" s="157" t="s">
        <v>276</v>
      </c>
      <c r="E140" s="181" t="s">
        <v>276</v>
      </c>
      <c r="F140" s="181">
        <f>SUM(F135:F139)</f>
        <v>318100</v>
      </c>
      <c r="G140" s="181" t="s">
        <v>276</v>
      </c>
      <c r="H140" s="181" t="s">
        <v>276</v>
      </c>
      <c r="I140" s="181" t="s">
        <v>276</v>
      </c>
      <c r="J140" s="181" t="s">
        <v>276</v>
      </c>
    </row>
    <row r="141" spans="1:10" ht="18">
      <c r="A141" s="139"/>
      <c r="B141" s="163" t="s">
        <v>52</v>
      </c>
      <c r="C141" s="241" t="s">
        <v>252</v>
      </c>
      <c r="D141" s="181">
        <v>0</v>
      </c>
      <c r="E141" s="181">
        <v>0</v>
      </c>
      <c r="F141" s="181">
        <v>0</v>
      </c>
      <c r="G141" s="181">
        <v>0</v>
      </c>
      <c r="H141" s="181">
        <v>0</v>
      </c>
      <c r="I141" s="181">
        <v>0</v>
      </c>
      <c r="J141" s="181">
        <v>0</v>
      </c>
    </row>
    <row r="142" spans="1:10" ht="18">
      <c r="A142" s="139"/>
      <c r="B142" s="164" t="s">
        <v>410</v>
      </c>
      <c r="C142" s="241" t="s">
        <v>469</v>
      </c>
      <c r="D142" s="181">
        <v>0</v>
      </c>
      <c r="E142" s="181">
        <v>0</v>
      </c>
      <c r="F142" s="181">
        <v>0</v>
      </c>
      <c r="G142" s="181">
        <v>0</v>
      </c>
      <c r="H142" s="181">
        <v>0</v>
      </c>
      <c r="I142" s="181">
        <v>0</v>
      </c>
      <c r="J142" s="181">
        <v>0</v>
      </c>
    </row>
    <row r="143" spans="1:10" ht="18">
      <c r="A143" s="139"/>
      <c r="B143" s="149" t="s">
        <v>411</v>
      </c>
      <c r="C143" s="143" t="s">
        <v>289</v>
      </c>
      <c r="D143" s="157" t="s">
        <v>470</v>
      </c>
      <c r="E143" s="181">
        <f aca="true" t="shared" si="2" ref="E143:J143">SUM(E141:E142)</f>
        <v>0</v>
      </c>
      <c r="F143" s="181">
        <f t="shared" si="2"/>
        <v>0</v>
      </c>
      <c r="G143" s="181">
        <f t="shared" si="2"/>
        <v>0</v>
      </c>
      <c r="H143" s="181">
        <f t="shared" si="2"/>
        <v>0</v>
      </c>
      <c r="I143" s="181">
        <f t="shared" si="2"/>
        <v>0</v>
      </c>
      <c r="J143" s="181">
        <f t="shared" si="2"/>
        <v>0</v>
      </c>
    </row>
    <row r="144" spans="1:10" ht="18">
      <c r="A144" s="142"/>
      <c r="B144" s="377" t="s">
        <v>290</v>
      </c>
      <c r="C144" s="376"/>
      <c r="D144" s="157" t="s">
        <v>276</v>
      </c>
      <c r="E144" s="181" t="s">
        <v>276</v>
      </c>
      <c r="F144" s="181">
        <f>SUM(F140)</f>
        <v>318100</v>
      </c>
      <c r="G144" s="181" t="s">
        <v>276</v>
      </c>
      <c r="H144" s="181" t="s">
        <v>276</v>
      </c>
      <c r="I144" s="181" t="s">
        <v>276</v>
      </c>
      <c r="J144" s="181" t="s">
        <v>276</v>
      </c>
    </row>
    <row r="145" spans="1:10" ht="18">
      <c r="A145" s="136" t="s">
        <v>24</v>
      </c>
      <c r="B145" s="163" t="s">
        <v>408</v>
      </c>
      <c r="C145" s="138" t="s">
        <v>268</v>
      </c>
      <c r="D145" s="157" t="s">
        <v>276</v>
      </c>
      <c r="E145" s="181" t="s">
        <v>276</v>
      </c>
      <c r="F145" s="181">
        <f>70000-3000</f>
        <v>67000</v>
      </c>
      <c r="G145" s="182">
        <v>250000</v>
      </c>
      <c r="H145" s="181" t="s">
        <v>276</v>
      </c>
      <c r="I145" s="181" t="s">
        <v>276</v>
      </c>
      <c r="J145" s="181" t="s">
        <v>276</v>
      </c>
    </row>
    <row r="146" spans="1:10" ht="18">
      <c r="A146" s="139"/>
      <c r="B146" s="164" t="s">
        <v>409</v>
      </c>
      <c r="C146" s="136" t="s">
        <v>16</v>
      </c>
      <c r="D146" s="157" t="s">
        <v>276</v>
      </c>
      <c r="E146" s="181" t="s">
        <v>276</v>
      </c>
      <c r="F146" s="181" t="s">
        <v>276</v>
      </c>
      <c r="G146" s="181" t="s">
        <v>276</v>
      </c>
      <c r="H146" s="181" t="s">
        <v>276</v>
      </c>
      <c r="I146" s="181" t="s">
        <v>276</v>
      </c>
      <c r="J146" s="181" t="s">
        <v>276</v>
      </c>
    </row>
    <row r="147" spans="1:10" ht="18">
      <c r="A147" s="139"/>
      <c r="B147" s="164"/>
      <c r="C147" s="138" t="s">
        <v>15</v>
      </c>
      <c r="D147" s="158">
        <v>170000</v>
      </c>
      <c r="E147" s="181">
        <v>90000</v>
      </c>
      <c r="F147" s="181">
        <f>30000-2360</f>
        <v>27640</v>
      </c>
      <c r="G147" s="181" t="s">
        <v>276</v>
      </c>
      <c r="H147" s="181">
        <v>100000</v>
      </c>
      <c r="I147" s="182">
        <f>140000-2800-1360-35000-5200-7800-4000-9200-32200</f>
        <v>42440</v>
      </c>
      <c r="J147" s="181" t="s">
        <v>276</v>
      </c>
    </row>
    <row r="148" spans="1:10" ht="18">
      <c r="A148" s="139"/>
      <c r="B148" s="147"/>
      <c r="C148" s="138" t="s">
        <v>269</v>
      </c>
      <c r="D148" s="157" t="s">
        <v>276</v>
      </c>
      <c r="E148" s="181" t="s">
        <v>276</v>
      </c>
      <c r="F148" s="181">
        <f>10000-500</f>
        <v>9500</v>
      </c>
      <c r="G148" s="181" t="s">
        <v>276</v>
      </c>
      <c r="H148" s="181" t="s">
        <v>276</v>
      </c>
      <c r="I148" s="181" t="s">
        <v>276</v>
      </c>
      <c r="J148" s="181" t="s">
        <v>276</v>
      </c>
    </row>
    <row r="149" spans="1:10" ht="18">
      <c r="A149" s="139"/>
      <c r="B149" s="147"/>
      <c r="C149" s="141" t="s">
        <v>288</v>
      </c>
      <c r="D149" s="220">
        <f>SUM(D145:D148)</f>
        <v>170000</v>
      </c>
      <c r="E149" s="181">
        <f>SUM(E145:E148)</f>
        <v>90000</v>
      </c>
      <c r="F149" s="181">
        <f>SUM(F145:F148)</f>
        <v>104140</v>
      </c>
      <c r="G149" s="181">
        <v>250000</v>
      </c>
      <c r="H149" s="181">
        <v>100000</v>
      </c>
      <c r="I149" s="181">
        <f>SUM(I147)</f>
        <v>42440</v>
      </c>
      <c r="J149" s="181" t="s">
        <v>276</v>
      </c>
    </row>
    <row r="150" spans="1:10" ht="18">
      <c r="A150" s="142"/>
      <c r="B150" s="377" t="s">
        <v>290</v>
      </c>
      <c r="C150" s="376"/>
      <c r="D150" s="159">
        <v>170000</v>
      </c>
      <c r="E150" s="181">
        <v>90000</v>
      </c>
      <c r="F150" s="181">
        <f>SUM(F149)</f>
        <v>104140</v>
      </c>
      <c r="G150" s="181">
        <v>250000</v>
      </c>
      <c r="H150" s="181">
        <v>100000</v>
      </c>
      <c r="I150" s="181">
        <f>SUM(I149)</f>
        <v>42440</v>
      </c>
      <c r="J150" s="181" t="s">
        <v>276</v>
      </c>
    </row>
    <row r="151" spans="1:11" s="129" customFormat="1" ht="18">
      <c r="A151" s="150"/>
      <c r="B151" s="151"/>
      <c r="C151" s="152" t="s">
        <v>246</v>
      </c>
      <c r="D151" s="229" t="s">
        <v>283</v>
      </c>
      <c r="E151" s="386" t="s">
        <v>266</v>
      </c>
      <c r="F151" s="206"/>
      <c r="G151" s="195"/>
      <c r="H151" s="302"/>
      <c r="I151" s="305"/>
      <c r="J151" s="302"/>
      <c r="K151" s="299"/>
    </row>
    <row r="152" spans="1:11" s="129" customFormat="1" ht="18">
      <c r="A152" s="153"/>
      <c r="B152" s="144"/>
      <c r="C152" s="154"/>
      <c r="D152" s="221" t="s">
        <v>51</v>
      </c>
      <c r="E152" s="387"/>
      <c r="F152" s="206"/>
      <c r="G152" s="195"/>
      <c r="H152" s="302"/>
      <c r="I152" s="301"/>
      <c r="J152" s="302"/>
      <c r="K152" s="299"/>
    </row>
    <row r="153" spans="1:11" s="129" customFormat="1" ht="18">
      <c r="A153" s="173" t="s">
        <v>245</v>
      </c>
      <c r="B153" s="174"/>
      <c r="C153" s="154"/>
      <c r="D153" s="400" t="s">
        <v>51</v>
      </c>
      <c r="E153" s="387"/>
      <c r="F153" s="206"/>
      <c r="G153" s="195"/>
      <c r="H153" s="302"/>
      <c r="I153" s="301"/>
      <c r="J153" s="302"/>
      <c r="K153" s="299"/>
    </row>
    <row r="154" spans="1:11" s="129" customFormat="1" ht="18">
      <c r="A154" s="216"/>
      <c r="B154" s="208"/>
      <c r="C154" s="217"/>
      <c r="D154" s="367"/>
      <c r="E154" s="388"/>
      <c r="F154" s="206"/>
      <c r="G154" s="195"/>
      <c r="H154" s="302"/>
      <c r="I154" s="301"/>
      <c r="J154" s="302"/>
      <c r="K154" s="299"/>
    </row>
    <row r="155" spans="1:10" ht="18">
      <c r="A155" s="136" t="s">
        <v>0</v>
      </c>
      <c r="B155" s="163" t="s">
        <v>408</v>
      </c>
      <c r="C155" s="161" t="s">
        <v>247</v>
      </c>
      <c r="D155" s="185">
        <v>0</v>
      </c>
      <c r="E155" s="185">
        <f>SUM(D95,E95,F95,G95,H95,I95,J95,D126,E126,F126,G126,H126,I126,J126,)</f>
        <v>2511960</v>
      </c>
      <c r="F155" s="204"/>
      <c r="G155" s="186"/>
      <c r="H155" s="204"/>
      <c r="I155" s="180"/>
      <c r="J155" s="204"/>
    </row>
    <row r="156" spans="1:10" ht="18">
      <c r="A156" s="139" t="s">
        <v>430</v>
      </c>
      <c r="B156" s="164" t="s">
        <v>409</v>
      </c>
      <c r="C156" s="161" t="s">
        <v>248</v>
      </c>
      <c r="D156" s="181">
        <v>0</v>
      </c>
      <c r="E156" s="181">
        <f>SUM(D96,F96,H96,J96,F127)</f>
        <v>377950</v>
      </c>
      <c r="F156" s="204"/>
      <c r="G156" s="186"/>
      <c r="H156" s="204"/>
      <c r="I156" s="180"/>
      <c r="J156" s="204"/>
    </row>
    <row r="157" spans="1:10" ht="18">
      <c r="A157" s="160" t="s">
        <v>431</v>
      </c>
      <c r="B157" s="164"/>
      <c r="C157" s="161" t="s">
        <v>249</v>
      </c>
      <c r="D157" s="181">
        <v>0</v>
      </c>
      <c r="E157" s="181">
        <f>SUM(D97)</f>
        <v>93000</v>
      </c>
      <c r="F157" s="204"/>
      <c r="G157" s="186"/>
      <c r="H157" s="204"/>
      <c r="I157" s="180"/>
      <c r="J157" s="204"/>
    </row>
    <row r="158" spans="1:10" ht="18">
      <c r="A158" s="160"/>
      <c r="B158" s="164"/>
      <c r="C158" s="161" t="s">
        <v>250</v>
      </c>
      <c r="D158" s="181">
        <v>0</v>
      </c>
      <c r="E158" s="181">
        <f>SUM(D98)</f>
        <v>112580</v>
      </c>
      <c r="F158" s="204"/>
      <c r="G158" s="186"/>
      <c r="H158" s="204"/>
      <c r="I158" s="180"/>
      <c r="J158" s="204"/>
    </row>
    <row r="159" spans="1:10" ht="18">
      <c r="A159" s="160"/>
      <c r="B159" s="164"/>
      <c r="C159" s="161" t="s">
        <v>251</v>
      </c>
      <c r="D159" s="181">
        <v>0</v>
      </c>
      <c r="E159" s="181">
        <f>SUM(D99)</f>
        <v>17000</v>
      </c>
      <c r="F159" s="204"/>
      <c r="G159" s="186"/>
      <c r="H159" s="204"/>
      <c r="I159" s="180"/>
      <c r="J159" s="204"/>
    </row>
    <row r="160" spans="1:10" ht="18">
      <c r="A160" s="160"/>
      <c r="B160" s="164"/>
      <c r="C160" s="161" t="s">
        <v>252</v>
      </c>
      <c r="D160" s="181">
        <v>0</v>
      </c>
      <c r="E160" s="181">
        <f>SUM(D100,F100,H100,J100,F131)</f>
        <v>672552</v>
      </c>
      <c r="F160" s="204"/>
      <c r="G160" s="186"/>
      <c r="H160" s="204"/>
      <c r="I160" s="180"/>
      <c r="J160" s="204"/>
    </row>
    <row r="161" spans="1:10" ht="18">
      <c r="A161" s="160"/>
      <c r="B161" s="164"/>
      <c r="C161" s="161" t="s">
        <v>253</v>
      </c>
      <c r="D161" s="181">
        <v>0</v>
      </c>
      <c r="E161" s="181">
        <f>SUM(D101,F101,H101,J101,F132)</f>
        <v>306748</v>
      </c>
      <c r="F161" s="204"/>
      <c r="G161" s="186"/>
      <c r="H161" s="204"/>
      <c r="I161" s="180"/>
      <c r="J161" s="204"/>
    </row>
    <row r="162" spans="1:10" ht="18">
      <c r="A162" s="160"/>
      <c r="B162" s="149"/>
      <c r="C162" s="143" t="s">
        <v>288</v>
      </c>
      <c r="D162" s="181">
        <v>0</v>
      </c>
      <c r="E162" s="181">
        <f>SUM(E155:E161)</f>
        <v>4091790</v>
      </c>
      <c r="F162" s="204"/>
      <c r="G162" s="186"/>
      <c r="H162" s="204"/>
      <c r="I162" s="180"/>
      <c r="J162" s="204"/>
    </row>
    <row r="163" spans="1:10" ht="18">
      <c r="A163" s="160"/>
      <c r="B163" s="163" t="s">
        <v>52</v>
      </c>
      <c r="C163" s="241" t="s">
        <v>252</v>
      </c>
      <c r="D163" s="181">
        <v>0</v>
      </c>
      <c r="E163" s="181">
        <f>SUM(I103)</f>
        <v>5340</v>
      </c>
      <c r="F163" s="204"/>
      <c r="G163" s="186"/>
      <c r="H163" s="204"/>
      <c r="I163" s="180"/>
      <c r="J163" s="204"/>
    </row>
    <row r="164" spans="1:10" ht="18">
      <c r="A164" s="160"/>
      <c r="B164" s="164" t="s">
        <v>410</v>
      </c>
      <c r="C164" s="241" t="s">
        <v>471</v>
      </c>
      <c r="D164" s="181">
        <v>0</v>
      </c>
      <c r="E164" s="181">
        <f>SUM(I104)</f>
        <v>3660</v>
      </c>
      <c r="F164" s="204"/>
      <c r="G164" s="186"/>
      <c r="H164" s="204"/>
      <c r="I164" s="180"/>
      <c r="J164" s="204"/>
    </row>
    <row r="165" spans="1:10" ht="18">
      <c r="A165" s="160"/>
      <c r="B165" s="149" t="s">
        <v>411</v>
      </c>
      <c r="C165" s="143" t="s">
        <v>289</v>
      </c>
      <c r="D165" s="181">
        <f>SUM(D163:D164)</f>
        <v>0</v>
      </c>
      <c r="E165" s="181">
        <f>SUM(E163:E164)</f>
        <v>9000</v>
      </c>
      <c r="F165" s="204"/>
      <c r="G165" s="186"/>
      <c r="H165" s="204"/>
      <c r="I165" s="180"/>
      <c r="J165" s="204"/>
    </row>
    <row r="166" spans="1:10" ht="18">
      <c r="A166" s="142"/>
      <c r="B166" s="377" t="s">
        <v>290</v>
      </c>
      <c r="C166" s="376"/>
      <c r="D166" s="181">
        <v>0</v>
      </c>
      <c r="E166" s="181">
        <f>SUM(E162:E165)</f>
        <v>4109790</v>
      </c>
      <c r="F166" s="204"/>
      <c r="G166" s="186"/>
      <c r="H166" s="204"/>
      <c r="I166" s="180"/>
      <c r="J166" s="204"/>
    </row>
    <row r="167" spans="1:10" ht="18">
      <c r="A167" s="136" t="s">
        <v>432</v>
      </c>
      <c r="B167" s="163" t="s">
        <v>408</v>
      </c>
      <c r="C167" s="138" t="s">
        <v>434</v>
      </c>
      <c r="D167" s="181">
        <v>0</v>
      </c>
      <c r="E167" s="181">
        <f>SUM(D107,F107,H107,J107,F135)</f>
        <v>1119800</v>
      </c>
      <c r="F167" s="204"/>
      <c r="G167" s="186"/>
      <c r="H167" s="204"/>
      <c r="I167" s="180"/>
      <c r="J167" s="204"/>
    </row>
    <row r="168" spans="1:10" ht="18">
      <c r="A168" s="139" t="s">
        <v>433</v>
      </c>
      <c r="B168" s="164" t="s">
        <v>409</v>
      </c>
      <c r="C168" s="137" t="s">
        <v>404</v>
      </c>
      <c r="D168" s="181">
        <v>0</v>
      </c>
      <c r="E168" s="181">
        <f>SUM(D108,F108,H108,J108,F136)</f>
        <v>75100</v>
      </c>
      <c r="F168" s="204"/>
      <c r="G168" s="186"/>
      <c r="H168" s="204"/>
      <c r="I168" s="180"/>
      <c r="J168" s="204"/>
    </row>
    <row r="169" spans="1:10" ht="18">
      <c r="A169" s="139"/>
      <c r="B169" s="147"/>
      <c r="C169" s="140" t="s">
        <v>254</v>
      </c>
      <c r="D169" s="181">
        <v>0</v>
      </c>
      <c r="E169" s="181">
        <f>SUM(D109,F109,H109,F137)</f>
        <v>145900</v>
      </c>
      <c r="F169" s="204"/>
      <c r="G169" s="186"/>
      <c r="H169" s="204"/>
      <c r="I169" s="180"/>
      <c r="J169" s="204"/>
    </row>
    <row r="170" spans="1:10" ht="18">
      <c r="A170" s="139"/>
      <c r="B170" s="147"/>
      <c r="C170" s="161" t="s">
        <v>405</v>
      </c>
      <c r="D170" s="181">
        <v>0</v>
      </c>
      <c r="E170" s="181">
        <f>SUM(D110,F110,F138)</f>
        <v>21596</v>
      </c>
      <c r="F170" s="204"/>
      <c r="G170" s="186"/>
      <c r="H170" s="204"/>
      <c r="I170" s="180"/>
      <c r="J170" s="204"/>
    </row>
    <row r="171" spans="1:10" ht="18">
      <c r="A171" s="139"/>
      <c r="B171" s="147"/>
      <c r="C171" s="161" t="s">
        <v>267</v>
      </c>
      <c r="D171" s="181">
        <v>0</v>
      </c>
      <c r="E171" s="181">
        <f>SUM(D111,F111,H111,F139)</f>
        <v>174715.25</v>
      </c>
      <c r="F171" s="204"/>
      <c r="G171" s="186"/>
      <c r="H171" s="204"/>
      <c r="I171" s="180"/>
      <c r="J171" s="204"/>
    </row>
    <row r="172" spans="1:10" ht="18">
      <c r="A172" s="139"/>
      <c r="B172" s="148"/>
      <c r="C172" s="143" t="s">
        <v>288</v>
      </c>
      <c r="D172" s="181">
        <v>0</v>
      </c>
      <c r="E172" s="181">
        <f>SUM(E167:E171)</f>
        <v>1537111.25</v>
      </c>
      <c r="F172" s="204"/>
      <c r="G172" s="186"/>
      <c r="H172" s="204"/>
      <c r="I172" s="180"/>
      <c r="J172" s="204"/>
    </row>
    <row r="173" spans="1:10" ht="18">
      <c r="A173" s="142"/>
      <c r="B173" s="377" t="s">
        <v>290</v>
      </c>
      <c r="C173" s="376"/>
      <c r="D173" s="181">
        <v>0</v>
      </c>
      <c r="E173" s="181">
        <f>SUM(E172)</f>
        <v>1537111.25</v>
      </c>
      <c r="F173" s="204"/>
      <c r="G173" s="186"/>
      <c r="H173" s="204"/>
      <c r="I173" s="180"/>
      <c r="J173" s="204"/>
    </row>
    <row r="174" spans="1:10" ht="18">
      <c r="A174" s="136" t="s">
        <v>24</v>
      </c>
      <c r="B174" s="163" t="s">
        <v>408</v>
      </c>
      <c r="C174" s="138" t="s">
        <v>268</v>
      </c>
      <c r="D174" s="181">
        <v>0</v>
      </c>
      <c r="E174" s="181">
        <f>SUM(D114,F114,H114,J114,F145,G145)</f>
        <v>875000</v>
      </c>
      <c r="F174" s="204"/>
      <c r="G174" s="186"/>
      <c r="H174" s="204"/>
      <c r="I174" s="180"/>
      <c r="J174" s="204"/>
    </row>
    <row r="175" spans="1:10" ht="18">
      <c r="A175" s="139"/>
      <c r="B175" s="164" t="s">
        <v>409</v>
      </c>
      <c r="C175" s="136" t="s">
        <v>16</v>
      </c>
      <c r="D175" s="181">
        <v>0</v>
      </c>
      <c r="E175" s="181">
        <f>SUM(D115,H115,)</f>
        <v>29250</v>
      </c>
      <c r="F175" s="204"/>
      <c r="G175" s="186"/>
      <c r="H175" s="204"/>
      <c r="I175" s="180"/>
      <c r="J175" s="204"/>
    </row>
    <row r="176" spans="1:10" ht="18">
      <c r="A176" s="139"/>
      <c r="B176" s="164"/>
      <c r="C176" s="138" t="s">
        <v>15</v>
      </c>
      <c r="D176" s="181">
        <v>0</v>
      </c>
      <c r="E176" s="181">
        <f>SUM(D116,E116,F116,G116,H116,I116,J116,D147,E147,F147,H147,I147)</f>
        <v>1319510</v>
      </c>
      <c r="F176" s="204"/>
      <c r="G176" s="186"/>
      <c r="H176" s="204"/>
      <c r="I176" s="180"/>
      <c r="J176" s="204"/>
    </row>
    <row r="177" spans="1:10" ht="18">
      <c r="A177" s="139"/>
      <c r="B177" s="147"/>
      <c r="C177" s="138" t="s">
        <v>269</v>
      </c>
      <c r="D177" s="181">
        <v>0</v>
      </c>
      <c r="E177" s="181">
        <f>SUM(D117,F117,H117,J117,F148)</f>
        <v>61090</v>
      </c>
      <c r="F177" s="204"/>
      <c r="G177" s="186"/>
      <c r="H177" s="204"/>
      <c r="I177" s="180"/>
      <c r="J177" s="204"/>
    </row>
    <row r="178" spans="1:10" ht="18">
      <c r="A178" s="139"/>
      <c r="B178" s="147"/>
      <c r="C178" s="141" t="s">
        <v>288</v>
      </c>
      <c r="D178" s="181">
        <v>0</v>
      </c>
      <c r="E178" s="181">
        <f>SUM(E174:E177)</f>
        <v>2284850</v>
      </c>
      <c r="F178" s="204"/>
      <c r="G178" s="186"/>
      <c r="H178" s="204"/>
      <c r="I178" s="180"/>
      <c r="J178" s="204"/>
    </row>
    <row r="179" spans="1:10" ht="18">
      <c r="A179" s="142"/>
      <c r="B179" s="377" t="s">
        <v>290</v>
      </c>
      <c r="C179" s="376"/>
      <c r="D179" s="181">
        <v>0</v>
      </c>
      <c r="E179" s="181">
        <f>SUM(E178)</f>
        <v>2284850</v>
      </c>
      <c r="F179" s="204"/>
      <c r="G179" s="186"/>
      <c r="H179" s="204"/>
      <c r="I179" s="180"/>
      <c r="J179" s="204"/>
    </row>
    <row r="180" spans="1:10" ht="18">
      <c r="A180" s="133"/>
      <c r="B180" s="145"/>
      <c r="C180" s="133"/>
      <c r="D180" s="186"/>
      <c r="E180" s="204"/>
      <c r="F180" s="204"/>
      <c r="G180" s="186"/>
      <c r="H180" s="204"/>
      <c r="I180" s="180"/>
      <c r="J180" s="204"/>
    </row>
    <row r="181" spans="1:11" s="129" customFormat="1" ht="18">
      <c r="A181" s="150"/>
      <c r="B181" s="151"/>
      <c r="C181" s="152" t="s">
        <v>246</v>
      </c>
      <c r="D181" s="364" t="s">
        <v>238</v>
      </c>
      <c r="E181" s="365"/>
      <c r="F181" s="366"/>
      <c r="G181" s="199" t="s">
        <v>7</v>
      </c>
      <c r="H181" s="364" t="s">
        <v>240</v>
      </c>
      <c r="I181" s="366"/>
      <c r="J181" s="207" t="s">
        <v>444</v>
      </c>
      <c r="K181" s="299"/>
    </row>
    <row r="182" spans="1:11" s="129" customFormat="1" ht="18">
      <c r="A182" s="153"/>
      <c r="B182" s="144"/>
      <c r="C182" s="154"/>
      <c r="D182" s="367"/>
      <c r="E182" s="368"/>
      <c r="F182" s="369"/>
      <c r="G182" s="200" t="s">
        <v>8</v>
      </c>
      <c r="H182" s="367"/>
      <c r="I182" s="369"/>
      <c r="J182" s="172" t="s">
        <v>445</v>
      </c>
      <c r="K182" s="299"/>
    </row>
    <row r="183" spans="1:11" s="129" customFormat="1" ht="18">
      <c r="A183" s="173" t="s">
        <v>245</v>
      </c>
      <c r="B183" s="174"/>
      <c r="C183" s="154"/>
      <c r="D183" s="179" t="s">
        <v>260</v>
      </c>
      <c r="E183" s="179" t="s">
        <v>416</v>
      </c>
      <c r="F183" s="179" t="s">
        <v>260</v>
      </c>
      <c r="G183" s="179" t="s">
        <v>446</v>
      </c>
      <c r="H183" s="201" t="s">
        <v>412</v>
      </c>
      <c r="I183" s="199" t="s">
        <v>379</v>
      </c>
      <c r="J183" s="179" t="s">
        <v>412</v>
      </c>
      <c r="K183" s="299"/>
    </row>
    <row r="184" spans="1:11" s="129" customFormat="1" ht="18">
      <c r="A184" s="216"/>
      <c r="B184" s="208"/>
      <c r="C184" s="217"/>
      <c r="D184" s="191" t="s">
        <v>257</v>
      </c>
      <c r="E184" s="191" t="s">
        <v>417</v>
      </c>
      <c r="F184" s="191" t="s">
        <v>259</v>
      </c>
      <c r="G184" s="191" t="s">
        <v>447</v>
      </c>
      <c r="H184" s="200" t="s">
        <v>241</v>
      </c>
      <c r="I184" s="200" t="s">
        <v>380</v>
      </c>
      <c r="J184" s="191" t="s">
        <v>448</v>
      </c>
      <c r="K184" s="299"/>
    </row>
    <row r="185" spans="1:10" ht="18">
      <c r="A185" s="136" t="s">
        <v>25</v>
      </c>
      <c r="B185" s="163" t="s">
        <v>408</v>
      </c>
      <c r="C185" s="138" t="s">
        <v>270</v>
      </c>
      <c r="D185" s="181" t="s">
        <v>276</v>
      </c>
      <c r="E185" s="181" t="s">
        <v>276</v>
      </c>
      <c r="F185" s="181">
        <f>90000-5477-3360-4962</f>
        <v>76201</v>
      </c>
      <c r="G185" s="181" t="s">
        <v>276</v>
      </c>
      <c r="H185" s="181">
        <v>20000</v>
      </c>
      <c r="I185" s="184" t="s">
        <v>276</v>
      </c>
      <c r="J185" s="181" t="s">
        <v>276</v>
      </c>
    </row>
    <row r="186" spans="1:10" ht="18">
      <c r="A186" s="139"/>
      <c r="B186" s="164" t="s">
        <v>409</v>
      </c>
      <c r="C186" s="138" t="s">
        <v>291</v>
      </c>
      <c r="D186" s="181" t="s">
        <v>276</v>
      </c>
      <c r="E186" s="181" t="s">
        <v>276</v>
      </c>
      <c r="F186" s="181" t="s">
        <v>276</v>
      </c>
      <c r="G186" s="181" t="s">
        <v>276</v>
      </c>
      <c r="H186" s="181" t="s">
        <v>276</v>
      </c>
      <c r="I186" s="184" t="s">
        <v>276</v>
      </c>
      <c r="J186" s="181" t="s">
        <v>276</v>
      </c>
    </row>
    <row r="187" spans="1:10" ht="18">
      <c r="A187" s="139"/>
      <c r="B187" s="164"/>
      <c r="C187" s="138" t="s">
        <v>292</v>
      </c>
      <c r="D187" s="181" t="s">
        <v>276</v>
      </c>
      <c r="E187" s="181" t="s">
        <v>276</v>
      </c>
      <c r="F187" s="181">
        <f>20000-4985</f>
        <v>15015</v>
      </c>
      <c r="G187" s="181" t="s">
        <v>276</v>
      </c>
      <c r="H187" s="181">
        <v>20000</v>
      </c>
      <c r="I187" s="184" t="s">
        <v>276</v>
      </c>
      <c r="J187" s="181" t="s">
        <v>276</v>
      </c>
    </row>
    <row r="188" spans="1:10" ht="18">
      <c r="A188" s="139"/>
      <c r="B188" s="168"/>
      <c r="C188" s="169" t="s">
        <v>293</v>
      </c>
      <c r="D188" s="181" t="s">
        <v>276</v>
      </c>
      <c r="E188" s="181" t="s">
        <v>276</v>
      </c>
      <c r="F188" s="181" t="s">
        <v>276</v>
      </c>
      <c r="G188" s="181" t="s">
        <v>276</v>
      </c>
      <c r="H188" s="181" t="s">
        <v>276</v>
      </c>
      <c r="I188" s="184">
        <v>1049510</v>
      </c>
      <c r="J188" s="181" t="s">
        <v>276</v>
      </c>
    </row>
    <row r="189" spans="1:10" ht="18">
      <c r="A189" s="139"/>
      <c r="B189" s="164"/>
      <c r="C189" s="138" t="s">
        <v>294</v>
      </c>
      <c r="D189" s="181" t="s">
        <v>276</v>
      </c>
      <c r="E189" s="181" t="s">
        <v>276</v>
      </c>
      <c r="F189" s="181" t="s">
        <v>276</v>
      </c>
      <c r="G189" s="181" t="s">
        <v>276</v>
      </c>
      <c r="H189" s="181" t="s">
        <v>276</v>
      </c>
      <c r="I189" s="184">
        <v>192400</v>
      </c>
      <c r="J189" s="181" t="s">
        <v>276</v>
      </c>
    </row>
    <row r="190" spans="1:10" ht="18">
      <c r="A190" s="139"/>
      <c r="B190" s="164"/>
      <c r="C190" s="138" t="s">
        <v>295</v>
      </c>
      <c r="D190" s="181" t="s">
        <v>276</v>
      </c>
      <c r="E190" s="181" t="s">
        <v>276</v>
      </c>
      <c r="F190" s="181" t="s">
        <v>276</v>
      </c>
      <c r="G190" s="181" t="s">
        <v>276</v>
      </c>
      <c r="H190" s="181" t="s">
        <v>276</v>
      </c>
      <c r="I190" s="184" t="s">
        <v>276</v>
      </c>
      <c r="J190" s="181" t="s">
        <v>276</v>
      </c>
    </row>
    <row r="191" spans="1:10" ht="18">
      <c r="A191" s="139"/>
      <c r="B191" s="164"/>
      <c r="C191" s="138" t="s">
        <v>296</v>
      </c>
      <c r="D191" s="181">
        <v>46710</v>
      </c>
      <c r="E191" s="181" t="s">
        <v>276</v>
      </c>
      <c r="F191" s="181" t="s">
        <v>276</v>
      </c>
      <c r="G191" s="181" t="s">
        <v>276</v>
      </c>
      <c r="H191" s="181" t="s">
        <v>276</v>
      </c>
      <c r="I191" s="184" t="s">
        <v>276</v>
      </c>
      <c r="J191" s="181" t="s">
        <v>276</v>
      </c>
    </row>
    <row r="192" spans="1:10" ht="18">
      <c r="A192" s="139"/>
      <c r="B192" s="164"/>
      <c r="C192" s="138" t="s">
        <v>297</v>
      </c>
      <c r="D192" s="181">
        <f>120000-6900-4700</f>
        <v>108400</v>
      </c>
      <c r="E192" s="181" t="s">
        <v>276</v>
      </c>
      <c r="F192" s="181" t="s">
        <v>276</v>
      </c>
      <c r="G192" s="181" t="s">
        <v>276</v>
      </c>
      <c r="H192" s="181" t="s">
        <v>276</v>
      </c>
      <c r="I192" s="184" t="s">
        <v>276</v>
      </c>
      <c r="J192" s="181" t="s">
        <v>276</v>
      </c>
    </row>
    <row r="193" spans="1:10" ht="18">
      <c r="A193" s="139"/>
      <c r="B193" s="164"/>
      <c r="C193" s="138" t="s">
        <v>298</v>
      </c>
      <c r="D193" s="181" t="s">
        <v>276</v>
      </c>
      <c r="E193" s="181" t="s">
        <v>276</v>
      </c>
      <c r="F193" s="181" t="s">
        <v>276</v>
      </c>
      <c r="G193" s="181" t="s">
        <v>276</v>
      </c>
      <c r="H193" s="181" t="s">
        <v>276</v>
      </c>
      <c r="I193" s="184" t="s">
        <v>276</v>
      </c>
      <c r="J193" s="181">
        <v>40000</v>
      </c>
    </row>
    <row r="194" spans="1:10" ht="18">
      <c r="A194" s="139"/>
      <c r="B194" s="164"/>
      <c r="C194" s="138" t="s">
        <v>299</v>
      </c>
      <c r="D194" s="182"/>
      <c r="E194" s="181" t="s">
        <v>276</v>
      </c>
      <c r="F194" s="181" t="s">
        <v>276</v>
      </c>
      <c r="G194" s="181" t="s">
        <v>276</v>
      </c>
      <c r="H194" s="181" t="s">
        <v>276</v>
      </c>
      <c r="I194" s="184" t="s">
        <v>276</v>
      </c>
      <c r="J194" s="181" t="s">
        <v>276</v>
      </c>
    </row>
    <row r="195" spans="1:10" ht="18">
      <c r="A195" s="139"/>
      <c r="B195" s="164"/>
      <c r="C195" s="169" t="s">
        <v>300</v>
      </c>
      <c r="D195" s="182">
        <f>40000-18000</f>
        <v>22000</v>
      </c>
      <c r="E195" s="181" t="s">
        <v>276</v>
      </c>
      <c r="F195" s="181">
        <v>40000</v>
      </c>
      <c r="G195" s="181" t="s">
        <v>276</v>
      </c>
      <c r="H195" s="181">
        <f>10000-9400</f>
        <v>600</v>
      </c>
      <c r="I195" s="184" t="s">
        <v>276</v>
      </c>
      <c r="J195" s="181" t="s">
        <v>276</v>
      </c>
    </row>
    <row r="196" spans="1:10" ht="18">
      <c r="A196" s="139"/>
      <c r="B196" s="168"/>
      <c r="C196" s="169" t="s">
        <v>301</v>
      </c>
      <c r="D196" s="182"/>
      <c r="E196" s="181" t="s">
        <v>276</v>
      </c>
      <c r="F196" s="181" t="s">
        <v>276</v>
      </c>
      <c r="G196" s="181" t="s">
        <v>276</v>
      </c>
      <c r="H196" s="203" t="s">
        <v>276</v>
      </c>
      <c r="I196" s="181">
        <v>20000</v>
      </c>
      <c r="J196" s="181" t="s">
        <v>276</v>
      </c>
    </row>
    <row r="197" spans="1:10" ht="18">
      <c r="A197" s="139"/>
      <c r="B197" s="149"/>
      <c r="C197" s="143" t="s">
        <v>288</v>
      </c>
      <c r="D197" s="182">
        <f>SUM(D185:D196)</f>
        <v>177110</v>
      </c>
      <c r="E197" s="181" t="s">
        <v>276</v>
      </c>
      <c r="F197" s="181">
        <f>SUM(F185:F196)</f>
        <v>131216</v>
      </c>
      <c r="G197" s="181" t="s">
        <v>276</v>
      </c>
      <c r="H197" s="203">
        <f>SUM(H185:H196)</f>
        <v>40600</v>
      </c>
      <c r="I197" s="181">
        <f>SUM(I185:I196)</f>
        <v>1261910</v>
      </c>
      <c r="J197" s="181">
        <f>SUM(J185:J196)</f>
        <v>40000</v>
      </c>
    </row>
    <row r="198" spans="1:10" ht="18">
      <c r="A198" s="139"/>
      <c r="B198" s="401" t="s">
        <v>290</v>
      </c>
      <c r="C198" s="376"/>
      <c r="D198" s="182">
        <f>SUM(D197)</f>
        <v>177110</v>
      </c>
      <c r="E198" s="181" t="s">
        <v>276</v>
      </c>
      <c r="F198" s="181">
        <f>SUM(F197)</f>
        <v>131216</v>
      </c>
      <c r="G198" s="181" t="s">
        <v>276</v>
      </c>
      <c r="H198" s="203">
        <f>SUM(H197)</f>
        <v>40600</v>
      </c>
      <c r="I198" s="181">
        <f>SUM(I197)</f>
        <v>1261910</v>
      </c>
      <c r="J198" s="181">
        <f>SUM(J197)</f>
        <v>40000</v>
      </c>
    </row>
    <row r="199" spans="1:10" ht="18">
      <c r="A199" s="211" t="s">
        <v>435</v>
      </c>
      <c r="B199" s="163" t="s">
        <v>408</v>
      </c>
      <c r="C199" s="161" t="s">
        <v>271</v>
      </c>
      <c r="D199" s="182">
        <f>150000-13627.72-13093.45</f>
        <v>123278.83</v>
      </c>
      <c r="E199" s="181" t="s">
        <v>276</v>
      </c>
      <c r="F199" s="181" t="s">
        <v>276</v>
      </c>
      <c r="G199" s="181" t="s">
        <v>276</v>
      </c>
      <c r="H199" s="203">
        <f>30000-1630.02</f>
        <v>28369.98</v>
      </c>
      <c r="I199" s="181" t="s">
        <v>276</v>
      </c>
      <c r="J199" s="181" t="s">
        <v>276</v>
      </c>
    </row>
    <row r="200" spans="1:10" ht="18">
      <c r="A200" s="160" t="s">
        <v>436</v>
      </c>
      <c r="B200" s="164" t="s">
        <v>409</v>
      </c>
      <c r="C200" s="161" t="s">
        <v>272</v>
      </c>
      <c r="D200" s="182">
        <f>5000-265-140</f>
        <v>4595</v>
      </c>
      <c r="E200" s="181" t="s">
        <v>276</v>
      </c>
      <c r="F200" s="181" t="s">
        <v>276</v>
      </c>
      <c r="G200" s="181" t="s">
        <v>276</v>
      </c>
      <c r="H200" s="203">
        <f>5000-50</f>
        <v>4950</v>
      </c>
      <c r="I200" s="181" t="s">
        <v>276</v>
      </c>
      <c r="J200" s="181" t="s">
        <v>276</v>
      </c>
    </row>
    <row r="201" spans="1:10" ht="18">
      <c r="A201" s="160"/>
      <c r="B201" s="164"/>
      <c r="C201" s="161" t="s">
        <v>273</v>
      </c>
      <c r="D201" s="182">
        <f>20000-1530.1-1001.52</f>
        <v>17468.38</v>
      </c>
      <c r="E201" s="181" t="s">
        <v>276</v>
      </c>
      <c r="F201" s="181" t="s">
        <v>276</v>
      </c>
      <c r="G201" s="181" t="s">
        <v>276</v>
      </c>
      <c r="H201" s="203">
        <f>10000-642</f>
        <v>9358</v>
      </c>
      <c r="I201" s="181" t="s">
        <v>276</v>
      </c>
      <c r="J201" s="181" t="s">
        <v>276</v>
      </c>
    </row>
    <row r="202" spans="1:10" ht="18">
      <c r="A202" s="160"/>
      <c r="B202" s="164"/>
      <c r="C202" s="161" t="s">
        <v>302</v>
      </c>
      <c r="D202" s="181">
        <v>10000</v>
      </c>
      <c r="E202" s="181">
        <v>0</v>
      </c>
      <c r="F202" s="181">
        <v>0</v>
      </c>
      <c r="G202" s="181">
        <v>0</v>
      </c>
      <c r="H202" s="203">
        <v>0</v>
      </c>
      <c r="I202" s="181" t="s">
        <v>276</v>
      </c>
      <c r="J202" s="181" t="s">
        <v>276</v>
      </c>
    </row>
    <row r="203" spans="1:10" ht="18">
      <c r="A203" s="160"/>
      <c r="B203" s="164"/>
      <c r="C203" s="161" t="s">
        <v>274</v>
      </c>
      <c r="D203" s="181">
        <f>87000-7040.6-5339.3</f>
        <v>74620.09999999999</v>
      </c>
      <c r="E203" s="181">
        <v>0</v>
      </c>
      <c r="F203" s="181">
        <v>0</v>
      </c>
      <c r="G203" s="181">
        <v>0</v>
      </c>
      <c r="H203" s="203">
        <f>25000-1701.3</f>
        <v>23298.7</v>
      </c>
      <c r="I203" s="181" t="s">
        <v>276</v>
      </c>
      <c r="J203" s="181" t="s">
        <v>276</v>
      </c>
    </row>
    <row r="204" spans="1:10" ht="18">
      <c r="A204" s="160"/>
      <c r="B204" s="149"/>
      <c r="C204" s="143" t="s">
        <v>288</v>
      </c>
      <c r="D204" s="181">
        <f>SUM(D199:D203)</f>
        <v>229962.31</v>
      </c>
      <c r="E204" s="181">
        <v>0</v>
      </c>
      <c r="F204" s="181">
        <v>0</v>
      </c>
      <c r="G204" s="181">
        <v>0</v>
      </c>
      <c r="H204" s="203">
        <f>SUM(H199:H203)</f>
        <v>65976.68</v>
      </c>
      <c r="I204" s="182">
        <v>0</v>
      </c>
      <c r="J204" s="181">
        <v>0</v>
      </c>
    </row>
    <row r="205" spans="1:10" ht="18">
      <c r="A205" s="142"/>
      <c r="B205" s="402" t="s">
        <v>290</v>
      </c>
      <c r="C205" s="376"/>
      <c r="D205" s="181">
        <f>SUM(D204)</f>
        <v>229962.31</v>
      </c>
      <c r="E205" s="181">
        <v>0</v>
      </c>
      <c r="F205" s="181">
        <v>0</v>
      </c>
      <c r="G205" s="181">
        <v>0</v>
      </c>
      <c r="H205" s="203">
        <f>SUM(H204)</f>
        <v>65976.68</v>
      </c>
      <c r="I205" s="182">
        <v>0</v>
      </c>
      <c r="J205" s="181">
        <v>0</v>
      </c>
    </row>
    <row r="206" spans="1:10" ht="18">
      <c r="A206" s="166"/>
      <c r="B206" s="162"/>
      <c r="C206" s="166"/>
      <c r="D206" s="188"/>
      <c r="E206" s="188"/>
      <c r="F206" s="188"/>
      <c r="G206" s="188"/>
      <c r="H206" s="188"/>
      <c r="I206" s="194"/>
      <c r="J206" s="188"/>
    </row>
    <row r="207" spans="1:10" ht="18">
      <c r="A207" s="166"/>
      <c r="B207" s="162"/>
      <c r="C207" s="166"/>
      <c r="D207" s="188"/>
      <c r="E207" s="188"/>
      <c r="F207" s="188"/>
      <c r="G207" s="188"/>
      <c r="H207" s="188"/>
      <c r="I207" s="194"/>
      <c r="J207" s="188"/>
    </row>
    <row r="208" spans="1:10" ht="18">
      <c r="A208" s="166"/>
      <c r="B208" s="162"/>
      <c r="C208" s="166"/>
      <c r="D208" s="188"/>
      <c r="E208" s="188"/>
      <c r="F208" s="188"/>
      <c r="G208" s="188"/>
      <c r="H208" s="188"/>
      <c r="I208" s="194"/>
      <c r="J208" s="188"/>
    </row>
    <row r="209" spans="1:10" ht="18">
      <c r="A209" s="133"/>
      <c r="B209" s="145"/>
      <c r="C209" s="133"/>
      <c r="D209" s="186"/>
      <c r="E209" s="204"/>
      <c r="F209" s="204"/>
      <c r="G209" s="186"/>
      <c r="H209" s="204"/>
      <c r="I209" s="180"/>
      <c r="J209" s="204"/>
    </row>
    <row r="210" spans="1:10" ht="18">
      <c r="A210" s="133"/>
      <c r="B210" s="145"/>
      <c r="C210" s="133"/>
      <c r="D210" s="186"/>
      <c r="E210" s="204"/>
      <c r="F210" s="204"/>
      <c r="G210" s="186"/>
      <c r="H210" s="204"/>
      <c r="I210" s="180"/>
      <c r="J210" s="204"/>
    </row>
    <row r="211" spans="1:11" s="129" customFormat="1" ht="18">
      <c r="A211" s="150"/>
      <c r="B211" s="151"/>
      <c r="C211" s="300" t="s">
        <v>246</v>
      </c>
      <c r="D211" s="199" t="s">
        <v>283</v>
      </c>
      <c r="E211" s="179" t="s">
        <v>9</v>
      </c>
      <c r="F211" s="391" t="s">
        <v>424</v>
      </c>
      <c r="G211" s="392"/>
      <c r="H211" s="395" t="s">
        <v>427</v>
      </c>
      <c r="I211" s="396"/>
      <c r="J211" s="227" t="s">
        <v>283</v>
      </c>
      <c r="K211" s="299"/>
    </row>
    <row r="212" spans="1:11" s="129" customFormat="1" ht="18">
      <c r="A212" s="153"/>
      <c r="B212" s="399"/>
      <c r="C212" s="399"/>
      <c r="D212" s="200" t="s">
        <v>418</v>
      </c>
      <c r="E212" s="191" t="s">
        <v>10</v>
      </c>
      <c r="F212" s="393"/>
      <c r="G212" s="394"/>
      <c r="H212" s="397"/>
      <c r="I212" s="398"/>
      <c r="J212" s="228" t="s">
        <v>450</v>
      </c>
      <c r="K212" s="299"/>
    </row>
    <row r="213" spans="1:11" s="129" customFormat="1" ht="18">
      <c r="A213" s="173" t="s">
        <v>245</v>
      </c>
      <c r="B213" s="174"/>
      <c r="C213" s="154"/>
      <c r="D213" s="214" t="s">
        <v>413</v>
      </c>
      <c r="E213" s="198" t="s">
        <v>419</v>
      </c>
      <c r="F213" s="179" t="s">
        <v>419</v>
      </c>
      <c r="G213" s="386" t="s">
        <v>11</v>
      </c>
      <c r="H213" s="198" t="s">
        <v>12</v>
      </c>
      <c r="I213" s="179" t="s">
        <v>425</v>
      </c>
      <c r="J213" s="179" t="s">
        <v>428</v>
      </c>
      <c r="K213" s="299"/>
    </row>
    <row r="214" spans="1:11" s="129" customFormat="1" ht="18">
      <c r="A214" s="173"/>
      <c r="B214" s="174"/>
      <c r="C214" s="154"/>
      <c r="D214" s="214" t="s">
        <v>421</v>
      </c>
      <c r="E214" s="198" t="s">
        <v>458</v>
      </c>
      <c r="F214" s="198" t="s">
        <v>422</v>
      </c>
      <c r="G214" s="387"/>
      <c r="H214" s="198" t="s">
        <v>13</v>
      </c>
      <c r="I214" s="198" t="s">
        <v>426</v>
      </c>
      <c r="J214" s="198" t="s">
        <v>429</v>
      </c>
      <c r="K214" s="299"/>
    </row>
    <row r="215" spans="1:11" s="129" customFormat="1" ht="18">
      <c r="A215" s="216"/>
      <c r="B215" s="208"/>
      <c r="C215" s="217"/>
      <c r="D215" s="290" t="s">
        <v>414</v>
      </c>
      <c r="E215" s="191" t="s">
        <v>459</v>
      </c>
      <c r="F215" s="191" t="s">
        <v>423</v>
      </c>
      <c r="G215" s="388"/>
      <c r="H215" s="303"/>
      <c r="I215" s="306"/>
      <c r="J215" s="303"/>
      <c r="K215" s="299"/>
    </row>
    <row r="216" spans="1:10" ht="18">
      <c r="A216" s="136" t="s">
        <v>25</v>
      </c>
      <c r="B216" s="163" t="s">
        <v>408</v>
      </c>
      <c r="C216" s="138" t="s">
        <v>270</v>
      </c>
      <c r="D216" s="181" t="s">
        <v>276</v>
      </c>
      <c r="E216" s="181" t="s">
        <v>276</v>
      </c>
      <c r="F216" s="181" t="s">
        <v>276</v>
      </c>
      <c r="G216" s="181" t="s">
        <v>276</v>
      </c>
      <c r="H216" s="181" t="s">
        <v>276</v>
      </c>
      <c r="I216" s="181" t="s">
        <v>276</v>
      </c>
      <c r="J216" s="181" t="s">
        <v>276</v>
      </c>
    </row>
    <row r="217" spans="1:10" ht="18">
      <c r="A217" s="139"/>
      <c r="B217" s="164" t="s">
        <v>409</v>
      </c>
      <c r="C217" s="138" t="s">
        <v>291</v>
      </c>
      <c r="D217" s="181" t="s">
        <v>276</v>
      </c>
      <c r="E217" s="181" t="s">
        <v>276</v>
      </c>
      <c r="F217" s="181">
        <v>35000</v>
      </c>
      <c r="G217" s="181" t="s">
        <v>276</v>
      </c>
      <c r="H217" s="181" t="s">
        <v>276</v>
      </c>
      <c r="I217" s="181" t="s">
        <v>276</v>
      </c>
      <c r="J217" s="181" t="s">
        <v>276</v>
      </c>
    </row>
    <row r="218" spans="1:10" ht="18">
      <c r="A218" s="139"/>
      <c r="B218" s="164"/>
      <c r="C218" s="138" t="s">
        <v>292</v>
      </c>
      <c r="D218" s="181" t="s">
        <v>276</v>
      </c>
      <c r="E218" s="181" t="s">
        <v>276</v>
      </c>
      <c r="F218" s="181" t="s">
        <v>276</v>
      </c>
      <c r="G218" s="181" t="s">
        <v>276</v>
      </c>
      <c r="H218" s="181" t="s">
        <v>276</v>
      </c>
      <c r="I218" s="181" t="s">
        <v>276</v>
      </c>
      <c r="J218" s="181" t="s">
        <v>276</v>
      </c>
    </row>
    <row r="219" spans="1:10" ht="18">
      <c r="A219" s="139"/>
      <c r="B219" s="168"/>
      <c r="C219" s="169" t="s">
        <v>293</v>
      </c>
      <c r="D219" s="181" t="s">
        <v>276</v>
      </c>
      <c r="E219" s="181" t="s">
        <v>276</v>
      </c>
      <c r="F219" s="181" t="s">
        <v>276</v>
      </c>
      <c r="G219" s="181" t="s">
        <v>276</v>
      </c>
      <c r="H219" s="181" t="s">
        <v>276</v>
      </c>
      <c r="I219" s="181" t="s">
        <v>276</v>
      </c>
      <c r="J219" s="181" t="s">
        <v>276</v>
      </c>
    </row>
    <row r="220" spans="1:10" ht="18">
      <c r="A220" s="139"/>
      <c r="B220" s="164"/>
      <c r="C220" s="138" t="s">
        <v>294</v>
      </c>
      <c r="D220" s="181" t="s">
        <v>276</v>
      </c>
      <c r="E220" s="181" t="s">
        <v>276</v>
      </c>
      <c r="F220" s="181" t="s">
        <v>276</v>
      </c>
      <c r="G220" s="181" t="s">
        <v>276</v>
      </c>
      <c r="H220" s="181" t="s">
        <v>276</v>
      </c>
      <c r="I220" s="181" t="s">
        <v>276</v>
      </c>
      <c r="J220" s="181" t="s">
        <v>276</v>
      </c>
    </row>
    <row r="221" spans="1:10" ht="18">
      <c r="A221" s="139"/>
      <c r="B221" s="164"/>
      <c r="C221" s="138" t="s">
        <v>295</v>
      </c>
      <c r="D221" s="181" t="s">
        <v>276</v>
      </c>
      <c r="E221" s="181" t="s">
        <v>276</v>
      </c>
      <c r="F221" s="181">
        <v>20000</v>
      </c>
      <c r="G221" s="181" t="s">
        <v>276</v>
      </c>
      <c r="H221" s="181" t="s">
        <v>276</v>
      </c>
      <c r="I221" s="181" t="s">
        <v>276</v>
      </c>
      <c r="J221" s="181" t="s">
        <v>276</v>
      </c>
    </row>
    <row r="222" spans="1:10" ht="18">
      <c r="A222" s="139"/>
      <c r="B222" s="164"/>
      <c r="C222" s="138" t="s">
        <v>296</v>
      </c>
      <c r="D222" s="181" t="s">
        <v>276</v>
      </c>
      <c r="E222" s="181" t="s">
        <v>276</v>
      </c>
      <c r="F222" s="181" t="s">
        <v>276</v>
      </c>
      <c r="G222" s="181" t="s">
        <v>276</v>
      </c>
      <c r="H222" s="181" t="s">
        <v>276</v>
      </c>
      <c r="I222" s="181" t="s">
        <v>276</v>
      </c>
      <c r="J222" s="181" t="s">
        <v>276</v>
      </c>
    </row>
    <row r="223" spans="1:10" ht="18">
      <c r="A223" s="139"/>
      <c r="B223" s="164"/>
      <c r="C223" s="138" t="s">
        <v>297</v>
      </c>
      <c r="D223" s="181" t="s">
        <v>276</v>
      </c>
      <c r="E223" s="181" t="s">
        <v>276</v>
      </c>
      <c r="F223" s="181" t="s">
        <v>276</v>
      </c>
      <c r="G223" s="181" t="s">
        <v>276</v>
      </c>
      <c r="H223" s="181" t="s">
        <v>276</v>
      </c>
      <c r="I223" s="181" t="s">
        <v>276</v>
      </c>
      <c r="J223" s="181" t="s">
        <v>276</v>
      </c>
    </row>
    <row r="224" spans="1:10" ht="18">
      <c r="A224" s="139"/>
      <c r="B224" s="164"/>
      <c r="C224" s="138" t="s">
        <v>298</v>
      </c>
      <c r="D224" s="181" t="s">
        <v>276</v>
      </c>
      <c r="E224" s="181" t="s">
        <v>276</v>
      </c>
      <c r="F224" s="181" t="s">
        <v>276</v>
      </c>
      <c r="G224" s="184" t="s">
        <v>276</v>
      </c>
      <c r="H224" s="181" t="s">
        <v>276</v>
      </c>
      <c r="I224" s="181" t="s">
        <v>276</v>
      </c>
      <c r="J224" s="181" t="s">
        <v>276</v>
      </c>
    </row>
    <row r="225" spans="1:10" ht="18">
      <c r="A225" s="139"/>
      <c r="B225" s="164"/>
      <c r="C225" s="138" t="s">
        <v>299</v>
      </c>
      <c r="D225" s="181" t="s">
        <v>276</v>
      </c>
      <c r="E225" s="181" t="s">
        <v>276</v>
      </c>
      <c r="F225" s="181" t="s">
        <v>276</v>
      </c>
      <c r="G225" s="184" t="s">
        <v>276</v>
      </c>
      <c r="H225" s="181">
        <v>60000</v>
      </c>
      <c r="I225" s="181" t="s">
        <v>276</v>
      </c>
      <c r="J225" s="181" t="s">
        <v>276</v>
      </c>
    </row>
    <row r="226" spans="1:10" ht="18">
      <c r="A226" s="139"/>
      <c r="B226" s="164"/>
      <c r="C226" s="169" t="s">
        <v>300</v>
      </c>
      <c r="D226" s="181" t="s">
        <v>276</v>
      </c>
      <c r="E226" s="181" t="s">
        <v>276</v>
      </c>
      <c r="F226" s="181">
        <f>20000-18600</f>
        <v>1400</v>
      </c>
      <c r="G226" s="184" t="s">
        <v>276</v>
      </c>
      <c r="H226" s="181" t="s">
        <v>276</v>
      </c>
      <c r="I226" s="181" t="s">
        <v>276</v>
      </c>
      <c r="J226" s="181" t="s">
        <v>276</v>
      </c>
    </row>
    <row r="227" spans="1:10" ht="18">
      <c r="A227" s="139"/>
      <c r="B227" s="168"/>
      <c r="C227" s="169" t="s">
        <v>301</v>
      </c>
      <c r="D227" s="181" t="s">
        <v>276</v>
      </c>
      <c r="E227" s="181" t="s">
        <v>276</v>
      </c>
      <c r="F227" s="181" t="s">
        <v>276</v>
      </c>
      <c r="G227" s="181" t="s">
        <v>276</v>
      </c>
      <c r="H227" s="181" t="s">
        <v>276</v>
      </c>
      <c r="I227" s="181" t="s">
        <v>276</v>
      </c>
      <c r="J227" s="181" t="s">
        <v>276</v>
      </c>
    </row>
    <row r="228" spans="1:10" ht="18">
      <c r="A228" s="139"/>
      <c r="B228" s="149"/>
      <c r="C228" s="143" t="s">
        <v>288</v>
      </c>
      <c r="D228" s="181" t="s">
        <v>276</v>
      </c>
      <c r="E228" s="181" t="s">
        <v>276</v>
      </c>
      <c r="F228" s="181">
        <f>SUM(F216:F227)</f>
        <v>56400</v>
      </c>
      <c r="G228" s="181" t="s">
        <v>276</v>
      </c>
      <c r="H228" s="181">
        <f>SUM(H216:H227)</f>
        <v>60000</v>
      </c>
      <c r="I228" s="181" t="s">
        <v>276</v>
      </c>
      <c r="J228" s="181" t="s">
        <v>276</v>
      </c>
    </row>
    <row r="229" spans="1:10" ht="18">
      <c r="A229" s="139"/>
      <c r="B229" s="401" t="s">
        <v>290</v>
      </c>
      <c r="C229" s="376"/>
      <c r="D229" s="181" t="s">
        <v>276</v>
      </c>
      <c r="E229" s="181" t="s">
        <v>276</v>
      </c>
      <c r="F229" s="181">
        <f>SUM(F228)</f>
        <v>56400</v>
      </c>
      <c r="G229" s="181" t="s">
        <v>276</v>
      </c>
      <c r="H229" s="181">
        <v>60000</v>
      </c>
      <c r="I229" s="181" t="s">
        <v>276</v>
      </c>
      <c r="J229" s="181" t="s">
        <v>276</v>
      </c>
    </row>
    <row r="230" spans="1:10" ht="18">
      <c r="A230" s="211" t="s">
        <v>435</v>
      </c>
      <c r="B230" s="163" t="s">
        <v>408</v>
      </c>
      <c r="C230" s="161" t="s">
        <v>271</v>
      </c>
      <c r="D230" s="181" t="s">
        <v>276</v>
      </c>
      <c r="E230" s="181" t="s">
        <v>276</v>
      </c>
      <c r="F230" s="181" t="s">
        <v>276</v>
      </c>
      <c r="G230" s="181" t="s">
        <v>276</v>
      </c>
      <c r="H230" s="181" t="s">
        <v>276</v>
      </c>
      <c r="I230" s="181" t="s">
        <v>276</v>
      </c>
      <c r="J230" s="181" t="s">
        <v>276</v>
      </c>
    </row>
    <row r="231" spans="1:10" ht="18">
      <c r="A231" s="160" t="s">
        <v>436</v>
      </c>
      <c r="B231" s="164" t="s">
        <v>409</v>
      </c>
      <c r="C231" s="161" t="s">
        <v>272</v>
      </c>
      <c r="D231" s="181" t="s">
        <v>276</v>
      </c>
      <c r="E231" s="181" t="s">
        <v>276</v>
      </c>
      <c r="F231" s="181" t="s">
        <v>276</v>
      </c>
      <c r="G231" s="184" t="s">
        <v>276</v>
      </c>
      <c r="H231" s="181" t="s">
        <v>276</v>
      </c>
      <c r="I231" s="181" t="s">
        <v>276</v>
      </c>
      <c r="J231" s="181" t="s">
        <v>276</v>
      </c>
    </row>
    <row r="232" spans="1:10" ht="18">
      <c r="A232" s="160"/>
      <c r="B232" s="164"/>
      <c r="C232" s="161" t="s">
        <v>273</v>
      </c>
      <c r="D232" s="181" t="s">
        <v>276</v>
      </c>
      <c r="E232" s="181" t="s">
        <v>276</v>
      </c>
      <c r="F232" s="181" t="s">
        <v>276</v>
      </c>
      <c r="G232" s="184" t="s">
        <v>276</v>
      </c>
      <c r="H232" s="181" t="s">
        <v>276</v>
      </c>
      <c r="I232" s="181" t="s">
        <v>276</v>
      </c>
      <c r="J232" s="181" t="s">
        <v>276</v>
      </c>
    </row>
    <row r="233" spans="1:10" ht="18">
      <c r="A233" s="160"/>
      <c r="B233" s="164"/>
      <c r="C233" s="161" t="s">
        <v>302</v>
      </c>
      <c r="D233" s="182">
        <v>0</v>
      </c>
      <c r="E233" s="181">
        <v>0</v>
      </c>
      <c r="F233" s="181" t="s">
        <v>276</v>
      </c>
      <c r="G233" s="184" t="s">
        <v>276</v>
      </c>
      <c r="H233" s="181" t="s">
        <v>276</v>
      </c>
      <c r="I233" s="181" t="s">
        <v>276</v>
      </c>
      <c r="J233" s="181" t="s">
        <v>276</v>
      </c>
    </row>
    <row r="234" spans="1:10" ht="18">
      <c r="A234" s="160"/>
      <c r="B234" s="164"/>
      <c r="C234" s="161" t="s">
        <v>274</v>
      </c>
      <c r="D234" s="182">
        <v>0</v>
      </c>
      <c r="E234" s="181">
        <v>0</v>
      </c>
      <c r="F234" s="181" t="s">
        <v>276</v>
      </c>
      <c r="G234" s="181" t="s">
        <v>276</v>
      </c>
      <c r="H234" s="181" t="s">
        <v>276</v>
      </c>
      <c r="I234" s="181" t="s">
        <v>276</v>
      </c>
      <c r="J234" s="181" t="s">
        <v>276</v>
      </c>
    </row>
    <row r="235" spans="1:10" ht="18">
      <c r="A235" s="160"/>
      <c r="B235" s="149"/>
      <c r="C235" s="143" t="s">
        <v>288</v>
      </c>
      <c r="D235" s="182">
        <v>0</v>
      </c>
      <c r="E235" s="181">
        <v>0</v>
      </c>
      <c r="F235" s="181">
        <v>0</v>
      </c>
      <c r="G235" s="181">
        <v>0</v>
      </c>
      <c r="H235" s="181">
        <v>0</v>
      </c>
      <c r="I235" s="181">
        <v>0</v>
      </c>
      <c r="J235" s="181">
        <v>0</v>
      </c>
    </row>
    <row r="236" spans="1:10" ht="18">
      <c r="A236" s="142"/>
      <c r="B236" s="402" t="s">
        <v>290</v>
      </c>
      <c r="C236" s="376"/>
      <c r="D236" s="182">
        <v>0</v>
      </c>
      <c r="E236" s="181">
        <v>0</v>
      </c>
      <c r="F236" s="181">
        <v>0</v>
      </c>
      <c r="G236" s="181">
        <v>0</v>
      </c>
      <c r="H236" s="181">
        <v>0</v>
      </c>
      <c r="I236" s="181">
        <v>0</v>
      </c>
      <c r="J236" s="181">
        <v>0</v>
      </c>
    </row>
    <row r="237" spans="1:10" ht="18">
      <c r="A237" s="166"/>
      <c r="B237" s="162"/>
      <c r="C237" s="166"/>
      <c r="D237" s="194"/>
      <c r="E237" s="188"/>
      <c r="F237" s="188"/>
      <c r="G237" s="186"/>
      <c r="H237" s="204"/>
      <c r="I237" s="186"/>
      <c r="J237" s="204"/>
    </row>
    <row r="238" spans="1:10" ht="18">
      <c r="A238" s="166"/>
      <c r="B238" s="162"/>
      <c r="C238" s="166"/>
      <c r="D238" s="194"/>
      <c r="E238" s="188"/>
      <c r="F238" s="188"/>
      <c r="G238" s="189"/>
      <c r="H238" s="188"/>
      <c r="I238" s="189"/>
      <c r="J238" s="188"/>
    </row>
    <row r="239" spans="1:10" ht="18">
      <c r="A239" s="166"/>
      <c r="B239" s="162"/>
      <c r="C239" s="166"/>
      <c r="D239" s="194"/>
      <c r="E239" s="188"/>
      <c r="F239" s="188"/>
      <c r="G239" s="194"/>
      <c r="H239" s="188"/>
      <c r="I239" s="194"/>
      <c r="J239" s="188"/>
    </row>
    <row r="240" spans="1:10" ht="18">
      <c r="A240" s="166"/>
      <c r="B240" s="162"/>
      <c r="C240" s="166"/>
      <c r="D240" s="194"/>
      <c r="E240" s="188"/>
      <c r="F240" s="188"/>
      <c r="G240" s="194"/>
      <c r="H240" s="188"/>
      <c r="I240" s="194"/>
      <c r="J240" s="188"/>
    </row>
    <row r="241" spans="1:11" s="129" customFormat="1" ht="18">
      <c r="A241" s="150"/>
      <c r="B241" s="151"/>
      <c r="C241" s="222" t="s">
        <v>246</v>
      </c>
      <c r="D241" s="207" t="s">
        <v>283</v>
      </c>
      <c r="E241" s="386" t="s">
        <v>266</v>
      </c>
      <c r="F241" s="302"/>
      <c r="G241" s="307"/>
      <c r="H241" s="302"/>
      <c r="I241" s="301"/>
      <c r="J241" s="302"/>
      <c r="K241" s="299"/>
    </row>
    <row r="242" spans="1:11" s="129" customFormat="1" ht="18">
      <c r="A242" s="153"/>
      <c r="B242" s="144"/>
      <c r="C242" s="223"/>
      <c r="D242" s="172" t="s">
        <v>51</v>
      </c>
      <c r="E242" s="387"/>
      <c r="F242" s="302"/>
      <c r="G242" s="307"/>
      <c r="H242" s="302"/>
      <c r="I242" s="301"/>
      <c r="J242" s="302"/>
      <c r="K242" s="299"/>
    </row>
    <row r="243" spans="1:11" s="129" customFormat="1" ht="18">
      <c r="A243" s="173" t="s">
        <v>245</v>
      </c>
      <c r="B243" s="226"/>
      <c r="C243" s="223"/>
      <c r="D243" s="389" t="s">
        <v>51</v>
      </c>
      <c r="E243" s="387"/>
      <c r="F243" s="302"/>
      <c r="G243" s="307"/>
      <c r="H243" s="302"/>
      <c r="I243" s="301"/>
      <c r="J243" s="302"/>
      <c r="K243" s="299"/>
    </row>
    <row r="244" spans="1:11" s="129" customFormat="1" ht="18">
      <c r="A244" s="216"/>
      <c r="B244" s="208"/>
      <c r="C244" s="308"/>
      <c r="D244" s="390"/>
      <c r="E244" s="388"/>
      <c r="F244" s="302"/>
      <c r="G244" s="307"/>
      <c r="H244" s="302"/>
      <c r="I244" s="301"/>
      <c r="J244" s="302"/>
      <c r="K244" s="299"/>
    </row>
    <row r="245" spans="1:10" ht="18">
      <c r="A245" s="136" t="s">
        <v>25</v>
      </c>
      <c r="B245" s="163" t="s">
        <v>408</v>
      </c>
      <c r="C245" s="138" t="s">
        <v>270</v>
      </c>
      <c r="D245" s="181">
        <v>0</v>
      </c>
      <c r="E245" s="181">
        <f>SUM(F185,H185)</f>
        <v>96201</v>
      </c>
      <c r="F245" s="204"/>
      <c r="G245" s="186"/>
      <c r="H245" s="204"/>
      <c r="I245" s="180"/>
      <c r="J245" s="204"/>
    </row>
    <row r="246" spans="1:10" ht="18">
      <c r="A246" s="139"/>
      <c r="B246" s="164" t="s">
        <v>409</v>
      </c>
      <c r="C246" s="138" t="s">
        <v>291</v>
      </c>
      <c r="D246" s="181">
        <v>0</v>
      </c>
      <c r="E246" s="181">
        <f>SUM(F217)</f>
        <v>35000</v>
      </c>
      <c r="F246" s="204"/>
      <c r="G246" s="186"/>
      <c r="H246" s="204"/>
      <c r="I246" s="180"/>
      <c r="J246" s="204"/>
    </row>
    <row r="247" spans="1:10" ht="18">
      <c r="A247" s="139"/>
      <c r="B247" s="164"/>
      <c r="C247" s="138" t="s">
        <v>292</v>
      </c>
      <c r="D247" s="181">
        <v>0</v>
      </c>
      <c r="E247" s="181">
        <f>SUM(F187,H187,)</f>
        <v>35015</v>
      </c>
      <c r="F247" s="204"/>
      <c r="G247" s="186"/>
      <c r="H247" s="204"/>
      <c r="I247" s="180"/>
      <c r="J247" s="204"/>
    </row>
    <row r="248" spans="1:10" ht="18">
      <c r="A248" s="139"/>
      <c r="B248" s="168"/>
      <c r="C248" s="169" t="s">
        <v>293</v>
      </c>
      <c r="D248" s="181">
        <v>0</v>
      </c>
      <c r="E248" s="181">
        <f>SUM(I188)</f>
        <v>1049510</v>
      </c>
      <c r="F248" s="204"/>
      <c r="G248" s="186"/>
      <c r="H248" s="204"/>
      <c r="I248" s="180"/>
      <c r="J248" s="204"/>
    </row>
    <row r="249" spans="1:10" ht="18">
      <c r="A249" s="139"/>
      <c r="B249" s="164"/>
      <c r="C249" s="138" t="s">
        <v>294</v>
      </c>
      <c r="D249" s="181">
        <v>0</v>
      </c>
      <c r="E249" s="181">
        <f>SUM(I189)</f>
        <v>192400</v>
      </c>
      <c r="F249" s="204"/>
      <c r="G249" s="186"/>
      <c r="H249" s="204"/>
      <c r="I249" s="180"/>
      <c r="J249" s="204"/>
    </row>
    <row r="250" spans="1:10" ht="18">
      <c r="A250" s="139"/>
      <c r="B250" s="164"/>
      <c r="C250" s="138" t="s">
        <v>295</v>
      </c>
      <c r="D250" s="181">
        <v>0</v>
      </c>
      <c r="E250" s="181">
        <f>SUM(F221)</f>
        <v>20000</v>
      </c>
      <c r="F250" s="204"/>
      <c r="G250" s="186"/>
      <c r="H250" s="204"/>
      <c r="I250" s="180"/>
      <c r="J250" s="204"/>
    </row>
    <row r="251" spans="1:10" ht="18">
      <c r="A251" s="139"/>
      <c r="B251" s="164"/>
      <c r="C251" s="138" t="s">
        <v>296</v>
      </c>
      <c r="D251" s="181">
        <v>0</v>
      </c>
      <c r="E251" s="181">
        <f>SUM(D191)</f>
        <v>46710</v>
      </c>
      <c r="F251" s="204"/>
      <c r="G251" s="186"/>
      <c r="H251" s="204"/>
      <c r="I251" s="180"/>
      <c r="J251" s="204"/>
    </row>
    <row r="252" spans="1:10" ht="18">
      <c r="A252" s="139"/>
      <c r="B252" s="164"/>
      <c r="C252" s="138" t="s">
        <v>297</v>
      </c>
      <c r="D252" s="181">
        <v>0</v>
      </c>
      <c r="E252" s="181">
        <f>SUM(D192)</f>
        <v>108400</v>
      </c>
      <c r="F252" s="204"/>
      <c r="G252" s="186"/>
      <c r="H252" s="204"/>
      <c r="I252" s="180"/>
      <c r="J252" s="204"/>
    </row>
    <row r="253" spans="1:10" ht="18">
      <c r="A253" s="139"/>
      <c r="B253" s="164"/>
      <c r="C253" s="138" t="s">
        <v>298</v>
      </c>
      <c r="D253" s="181">
        <v>0</v>
      </c>
      <c r="E253" s="181">
        <f>SUM(J193)</f>
        <v>40000</v>
      </c>
      <c r="F253" s="204"/>
      <c r="G253" s="186"/>
      <c r="H253" s="204"/>
      <c r="I253" s="180"/>
      <c r="J253" s="204"/>
    </row>
    <row r="254" spans="1:10" ht="18">
      <c r="A254" s="139"/>
      <c r="B254" s="164"/>
      <c r="C254" s="138" t="s">
        <v>299</v>
      </c>
      <c r="D254" s="181">
        <v>0</v>
      </c>
      <c r="E254" s="181">
        <f>SUM(H225)</f>
        <v>60000</v>
      </c>
      <c r="F254" s="204"/>
      <c r="G254" s="186"/>
      <c r="H254" s="204"/>
      <c r="I254" s="180"/>
      <c r="J254" s="204"/>
    </row>
    <row r="255" spans="1:10" ht="18">
      <c r="A255" s="139"/>
      <c r="B255" s="164"/>
      <c r="C255" s="169" t="s">
        <v>300</v>
      </c>
      <c r="D255" s="181">
        <v>0</v>
      </c>
      <c r="E255" s="181">
        <f>SUM(D195,F195,H195,F226)</f>
        <v>64000</v>
      </c>
      <c r="F255" s="204"/>
      <c r="G255" s="186"/>
      <c r="H255" s="204"/>
      <c r="I255" s="180"/>
      <c r="J255" s="204"/>
    </row>
    <row r="256" spans="1:10" ht="18">
      <c r="A256" s="139"/>
      <c r="B256" s="168"/>
      <c r="C256" s="169" t="s">
        <v>301</v>
      </c>
      <c r="D256" s="181">
        <v>0</v>
      </c>
      <c r="E256" s="181">
        <f>SUM(I196)</f>
        <v>20000</v>
      </c>
      <c r="F256" s="204"/>
      <c r="G256" s="186"/>
      <c r="H256" s="204"/>
      <c r="I256" s="180"/>
      <c r="J256" s="204"/>
    </row>
    <row r="257" spans="1:10" ht="18">
      <c r="A257" s="139"/>
      <c r="B257" s="149"/>
      <c r="C257" s="143" t="s">
        <v>288</v>
      </c>
      <c r="D257" s="181">
        <v>0</v>
      </c>
      <c r="E257" s="181">
        <f>SUM(E245:E256)</f>
        <v>1767236</v>
      </c>
      <c r="F257" s="204"/>
      <c r="G257" s="186"/>
      <c r="H257" s="204"/>
      <c r="I257" s="180"/>
      <c r="J257" s="204"/>
    </row>
    <row r="258" spans="1:10" ht="18">
      <c r="A258" s="139"/>
      <c r="B258" s="401" t="s">
        <v>290</v>
      </c>
      <c r="C258" s="376"/>
      <c r="D258" s="181">
        <v>0</v>
      </c>
      <c r="E258" s="181">
        <f>SUM(E257)</f>
        <v>1767236</v>
      </c>
      <c r="F258" s="204"/>
      <c r="G258" s="186"/>
      <c r="H258" s="204"/>
      <c r="I258" s="180"/>
      <c r="J258" s="204"/>
    </row>
    <row r="259" spans="1:10" ht="18">
      <c r="A259" s="136" t="s">
        <v>435</v>
      </c>
      <c r="B259" s="146" t="s">
        <v>408</v>
      </c>
      <c r="C259" s="161" t="s">
        <v>271</v>
      </c>
      <c r="D259" s="181">
        <v>0</v>
      </c>
      <c r="E259" s="181">
        <f>SUM(D199,H199)</f>
        <v>151648.81</v>
      </c>
      <c r="F259" s="204"/>
      <c r="G259" s="186"/>
      <c r="H259" s="204"/>
      <c r="I259" s="180"/>
      <c r="J259" s="204"/>
    </row>
    <row r="260" spans="1:10" ht="18">
      <c r="A260" s="139" t="s">
        <v>436</v>
      </c>
      <c r="B260" s="147" t="s">
        <v>409</v>
      </c>
      <c r="C260" s="161" t="s">
        <v>272</v>
      </c>
      <c r="D260" s="181">
        <v>0</v>
      </c>
      <c r="E260" s="181">
        <f>SUM(D200,H200)</f>
        <v>9545</v>
      </c>
      <c r="F260" s="204"/>
      <c r="G260" s="186"/>
      <c r="H260" s="204"/>
      <c r="I260" s="180"/>
      <c r="J260" s="204"/>
    </row>
    <row r="261" spans="1:10" ht="18">
      <c r="A261" s="139"/>
      <c r="B261" s="147"/>
      <c r="C261" s="161" t="s">
        <v>273</v>
      </c>
      <c r="D261" s="181">
        <v>0</v>
      </c>
      <c r="E261" s="181">
        <f>SUM(D201,H201)</f>
        <v>26826.38</v>
      </c>
      <c r="F261" s="204"/>
      <c r="G261" s="186"/>
      <c r="H261" s="204"/>
      <c r="I261" s="180"/>
      <c r="J261" s="204"/>
    </row>
    <row r="262" spans="1:10" ht="18">
      <c r="A262" s="139"/>
      <c r="B262" s="147"/>
      <c r="C262" s="161" t="s">
        <v>302</v>
      </c>
      <c r="D262" s="203">
        <v>0</v>
      </c>
      <c r="E262" s="181">
        <f>SUM(D202)</f>
        <v>10000</v>
      </c>
      <c r="F262" s="204"/>
      <c r="G262" s="186"/>
      <c r="H262" s="204"/>
      <c r="I262" s="180"/>
      <c r="J262" s="204"/>
    </row>
    <row r="263" spans="1:10" ht="18">
      <c r="A263" s="139"/>
      <c r="B263" s="147"/>
      <c r="C263" s="161" t="s">
        <v>274</v>
      </c>
      <c r="D263" s="203">
        <v>0</v>
      </c>
      <c r="E263" s="181">
        <f>SUM(D203,H203)</f>
        <v>97918.79999999999</v>
      </c>
      <c r="F263" s="204"/>
      <c r="G263" s="186"/>
      <c r="H263" s="204"/>
      <c r="I263" s="180"/>
      <c r="J263" s="204"/>
    </row>
    <row r="264" spans="1:10" ht="18">
      <c r="A264" s="139"/>
      <c r="B264" s="148"/>
      <c r="C264" s="143" t="s">
        <v>288</v>
      </c>
      <c r="D264" s="181">
        <v>0</v>
      </c>
      <c r="E264" s="181">
        <f>SUM(E259:E263)</f>
        <v>295938.99</v>
      </c>
      <c r="F264" s="204"/>
      <c r="G264" s="186"/>
      <c r="H264" s="204"/>
      <c r="I264" s="180"/>
      <c r="J264" s="204"/>
    </row>
    <row r="265" spans="1:10" ht="18">
      <c r="A265" s="142"/>
      <c r="B265" s="402" t="s">
        <v>290</v>
      </c>
      <c r="C265" s="376"/>
      <c r="D265" s="181">
        <v>0</v>
      </c>
      <c r="E265" s="181">
        <f>SUM(E264)</f>
        <v>295938.99</v>
      </c>
      <c r="F265" s="204"/>
      <c r="G265" s="186"/>
      <c r="H265" s="204"/>
      <c r="I265" s="180"/>
      <c r="J265" s="204"/>
    </row>
    <row r="266" spans="1:10" ht="18">
      <c r="A266" s="166"/>
      <c r="B266" s="371"/>
      <c r="C266" s="371"/>
      <c r="D266" s="189"/>
      <c r="E266" s="188"/>
      <c r="F266" s="204"/>
      <c r="G266" s="186"/>
      <c r="H266" s="204"/>
      <c r="I266" s="180"/>
      <c r="J266" s="204"/>
    </row>
    <row r="267" spans="1:10" ht="18">
      <c r="A267" s="133"/>
      <c r="B267" s="145"/>
      <c r="C267" s="133"/>
      <c r="D267" s="186"/>
      <c r="E267" s="204"/>
      <c r="F267" s="204"/>
      <c r="G267" s="186"/>
      <c r="H267" s="204"/>
      <c r="I267" s="180"/>
      <c r="J267" s="204"/>
    </row>
    <row r="268" spans="1:10" ht="18">
      <c r="A268" s="133"/>
      <c r="B268" s="145"/>
      <c r="C268" s="133"/>
      <c r="D268" s="186"/>
      <c r="E268" s="204"/>
      <c r="F268" s="204"/>
      <c r="G268" s="186"/>
      <c r="H268" s="204"/>
      <c r="I268" s="180"/>
      <c r="J268" s="204"/>
    </row>
    <row r="269" spans="1:10" ht="18">
      <c r="A269" s="133"/>
      <c r="B269" s="145"/>
      <c r="C269" s="133"/>
      <c r="D269" s="186"/>
      <c r="E269" s="204"/>
      <c r="F269" s="204"/>
      <c r="G269" s="186"/>
      <c r="H269" s="204"/>
      <c r="I269" s="180"/>
      <c r="J269" s="204"/>
    </row>
    <row r="270" spans="1:10" ht="18">
      <c r="A270" s="133"/>
      <c r="B270" s="145"/>
      <c r="C270" s="133"/>
      <c r="D270" s="186"/>
      <c r="E270" s="204"/>
      <c r="F270" s="204"/>
      <c r="G270" s="186"/>
      <c r="H270" s="204"/>
      <c r="I270" s="180"/>
      <c r="J270" s="204"/>
    </row>
    <row r="271" spans="1:11" s="129" customFormat="1" ht="18">
      <c r="A271" s="150"/>
      <c r="B271" s="151"/>
      <c r="C271" s="152" t="s">
        <v>246</v>
      </c>
      <c r="D271" s="364" t="s">
        <v>238</v>
      </c>
      <c r="E271" s="365"/>
      <c r="F271" s="366"/>
      <c r="G271" s="199" t="s">
        <v>7</v>
      </c>
      <c r="H271" s="364" t="s">
        <v>240</v>
      </c>
      <c r="I271" s="366"/>
      <c r="J271" s="207" t="s">
        <v>451</v>
      </c>
      <c r="K271" s="299"/>
    </row>
    <row r="272" spans="1:11" s="129" customFormat="1" ht="18">
      <c r="A272" s="153"/>
      <c r="B272" s="144"/>
      <c r="C272" s="154"/>
      <c r="D272" s="367"/>
      <c r="E272" s="368"/>
      <c r="F272" s="369"/>
      <c r="G272" s="200" t="s">
        <v>8</v>
      </c>
      <c r="H272" s="367"/>
      <c r="I272" s="369"/>
      <c r="J272" s="172" t="s">
        <v>445</v>
      </c>
      <c r="K272" s="299"/>
    </row>
    <row r="273" spans="1:11" s="129" customFormat="1" ht="18">
      <c r="A273" s="173" t="s">
        <v>245</v>
      </c>
      <c r="B273" s="174"/>
      <c r="C273" s="154"/>
      <c r="D273" s="179" t="s">
        <v>260</v>
      </c>
      <c r="E273" s="179" t="s">
        <v>416</v>
      </c>
      <c r="F273" s="179" t="s">
        <v>260</v>
      </c>
      <c r="G273" s="179" t="s">
        <v>446</v>
      </c>
      <c r="H273" s="201" t="s">
        <v>412</v>
      </c>
      <c r="I273" s="199" t="s">
        <v>379</v>
      </c>
      <c r="J273" s="179" t="s">
        <v>412</v>
      </c>
      <c r="K273" s="299"/>
    </row>
    <row r="274" spans="1:11" s="129" customFormat="1" ht="18">
      <c r="A274" s="216"/>
      <c r="B274" s="208"/>
      <c r="C274" s="217"/>
      <c r="D274" s="191" t="s">
        <v>257</v>
      </c>
      <c r="E274" s="191" t="s">
        <v>417</v>
      </c>
      <c r="F274" s="191" t="s">
        <v>259</v>
      </c>
      <c r="G274" s="191" t="s">
        <v>447</v>
      </c>
      <c r="H274" s="200" t="s">
        <v>241</v>
      </c>
      <c r="I274" s="200" t="s">
        <v>380</v>
      </c>
      <c r="J274" s="191" t="s">
        <v>448</v>
      </c>
      <c r="K274" s="299"/>
    </row>
    <row r="275" spans="1:10" ht="18">
      <c r="A275" s="163" t="s">
        <v>452</v>
      </c>
      <c r="B275" s="146" t="s">
        <v>408</v>
      </c>
      <c r="C275" s="138" t="s">
        <v>303</v>
      </c>
      <c r="D275" s="181">
        <v>8800</v>
      </c>
      <c r="E275" s="181" t="s">
        <v>276</v>
      </c>
      <c r="F275" s="181">
        <v>17600</v>
      </c>
      <c r="G275" s="181" t="s">
        <v>276</v>
      </c>
      <c r="H275" s="181">
        <v>18200</v>
      </c>
      <c r="I275" s="181" t="s">
        <v>276</v>
      </c>
      <c r="J275" s="181" t="s">
        <v>276</v>
      </c>
    </row>
    <row r="276" spans="1:10" ht="18">
      <c r="A276" s="139" t="s">
        <v>453</v>
      </c>
      <c r="B276" s="147" t="s">
        <v>409</v>
      </c>
      <c r="C276" s="138" t="s">
        <v>304</v>
      </c>
      <c r="D276" s="181" t="s">
        <v>276</v>
      </c>
      <c r="E276" s="187" t="s">
        <v>276</v>
      </c>
      <c r="F276" s="187" t="s">
        <v>276</v>
      </c>
      <c r="G276" s="187" t="s">
        <v>276</v>
      </c>
      <c r="H276" s="181">
        <v>10500</v>
      </c>
      <c r="I276" s="187" t="s">
        <v>276</v>
      </c>
      <c r="J276" s="187" t="s">
        <v>276</v>
      </c>
    </row>
    <row r="277" spans="1:10" ht="18">
      <c r="A277" s="139"/>
      <c r="B277" s="147"/>
      <c r="C277" s="138" t="s">
        <v>305</v>
      </c>
      <c r="D277" s="187" t="s">
        <v>276</v>
      </c>
      <c r="E277" s="181" t="s">
        <v>276</v>
      </c>
      <c r="F277" s="181" t="s">
        <v>276</v>
      </c>
      <c r="G277" s="181" t="s">
        <v>276</v>
      </c>
      <c r="H277" s="181" t="s">
        <v>276</v>
      </c>
      <c r="I277" s="181" t="s">
        <v>276</v>
      </c>
      <c r="J277" s="181" t="s">
        <v>276</v>
      </c>
    </row>
    <row r="278" spans="1:10" ht="18">
      <c r="A278" s="139"/>
      <c r="B278" s="147"/>
      <c r="C278" s="138" t="s">
        <v>306</v>
      </c>
      <c r="D278" s="181">
        <v>10000</v>
      </c>
      <c r="E278" s="187" t="s">
        <v>276</v>
      </c>
      <c r="F278" s="187" t="s">
        <v>276</v>
      </c>
      <c r="G278" s="187" t="s">
        <v>276</v>
      </c>
      <c r="H278" s="181">
        <v>10000</v>
      </c>
      <c r="I278" s="187" t="s">
        <v>276</v>
      </c>
      <c r="J278" s="187" t="s">
        <v>276</v>
      </c>
    </row>
    <row r="279" spans="1:10" ht="18">
      <c r="A279" s="139"/>
      <c r="B279" s="147"/>
      <c r="C279" s="138" t="s">
        <v>307</v>
      </c>
      <c r="D279" s="181">
        <v>30000</v>
      </c>
      <c r="E279" s="181" t="s">
        <v>276</v>
      </c>
      <c r="F279" s="181" t="s">
        <v>276</v>
      </c>
      <c r="G279" s="181" t="s">
        <v>276</v>
      </c>
      <c r="H279" s="181" t="s">
        <v>276</v>
      </c>
      <c r="I279" s="181">
        <v>30000</v>
      </c>
      <c r="J279" s="181" t="s">
        <v>276</v>
      </c>
    </row>
    <row r="280" spans="1:10" ht="18">
      <c r="A280" s="139"/>
      <c r="B280" s="147"/>
      <c r="C280" s="138" t="s">
        <v>308</v>
      </c>
      <c r="D280" s="181">
        <v>10000</v>
      </c>
      <c r="E280" s="187" t="s">
        <v>276</v>
      </c>
      <c r="F280" s="187" t="s">
        <v>276</v>
      </c>
      <c r="G280" s="187" t="s">
        <v>276</v>
      </c>
      <c r="H280" s="187" t="s">
        <v>276</v>
      </c>
      <c r="I280" s="187" t="s">
        <v>276</v>
      </c>
      <c r="J280" s="187" t="s">
        <v>276</v>
      </c>
    </row>
    <row r="281" spans="1:10" ht="18">
      <c r="A281" s="139"/>
      <c r="B281" s="147"/>
      <c r="C281" s="138" t="s">
        <v>309</v>
      </c>
      <c r="D281" s="187" t="s">
        <v>276</v>
      </c>
      <c r="E281" s="181" t="s">
        <v>276</v>
      </c>
      <c r="F281" s="181" t="s">
        <v>276</v>
      </c>
      <c r="G281" s="181" t="s">
        <v>276</v>
      </c>
      <c r="H281" s="181" t="s">
        <v>276</v>
      </c>
      <c r="I281" s="181">
        <v>34500</v>
      </c>
      <c r="J281" s="181" t="s">
        <v>276</v>
      </c>
    </row>
    <row r="282" spans="1:10" ht="18">
      <c r="A282" s="139"/>
      <c r="B282" s="147"/>
      <c r="C282" s="138" t="s">
        <v>275</v>
      </c>
      <c r="D282" s="181">
        <f>40000-8939.85</f>
        <v>31060.15</v>
      </c>
      <c r="E282" s="187" t="s">
        <v>276</v>
      </c>
      <c r="F282" s="181">
        <v>20000</v>
      </c>
      <c r="G282" s="187" t="s">
        <v>276</v>
      </c>
      <c r="H282" s="177">
        <f>20000-20000</f>
        <v>0</v>
      </c>
      <c r="I282" s="187" t="s">
        <v>276</v>
      </c>
      <c r="J282" s="187" t="s">
        <v>276</v>
      </c>
    </row>
    <row r="283" spans="1:10" ht="18">
      <c r="A283" s="139"/>
      <c r="B283" s="148"/>
      <c r="C283" s="165" t="s">
        <v>288</v>
      </c>
      <c r="D283" s="181">
        <f>SUM(D275:D282)</f>
        <v>89860.15</v>
      </c>
      <c r="E283" s="181" t="s">
        <v>276</v>
      </c>
      <c r="F283" s="181">
        <f>SUM(F275:F282)</f>
        <v>37600</v>
      </c>
      <c r="G283" s="181" t="s">
        <v>276</v>
      </c>
      <c r="H283" s="181">
        <f>SUM(H275:H282)</f>
        <v>38700</v>
      </c>
      <c r="I283" s="181">
        <f>SUM(I275:I282)</f>
        <v>64500</v>
      </c>
      <c r="J283" s="181" t="s">
        <v>276</v>
      </c>
    </row>
    <row r="284" spans="1:10" ht="18">
      <c r="A284" s="142"/>
      <c r="B284" s="377" t="s">
        <v>290</v>
      </c>
      <c r="C284" s="376"/>
      <c r="D284" s="181">
        <f>SUM(D283)</f>
        <v>89860.15</v>
      </c>
      <c r="E284" s="181" t="s">
        <v>276</v>
      </c>
      <c r="F284" s="181">
        <v>37600</v>
      </c>
      <c r="G284" s="181" t="s">
        <v>276</v>
      </c>
      <c r="H284" s="181">
        <f>SUM(H283)</f>
        <v>38700</v>
      </c>
      <c r="I284" s="181">
        <v>64500</v>
      </c>
      <c r="J284" s="181" t="s">
        <v>276</v>
      </c>
    </row>
    <row r="285" spans="1:10" ht="18">
      <c r="A285" s="163" t="s">
        <v>454</v>
      </c>
      <c r="B285" s="146" t="s">
        <v>408</v>
      </c>
      <c r="C285" s="138" t="s">
        <v>312</v>
      </c>
      <c r="D285" s="187" t="s">
        <v>276</v>
      </c>
      <c r="E285" s="187" t="s">
        <v>276</v>
      </c>
      <c r="F285" s="187" t="s">
        <v>276</v>
      </c>
      <c r="G285" s="187" t="s">
        <v>276</v>
      </c>
      <c r="H285" s="187" t="s">
        <v>276</v>
      </c>
      <c r="I285" s="181">
        <v>50000</v>
      </c>
      <c r="J285" s="187" t="s">
        <v>276</v>
      </c>
    </row>
    <row r="286" spans="1:10" ht="18">
      <c r="A286" s="164" t="s">
        <v>455</v>
      </c>
      <c r="B286" s="147" t="s">
        <v>409</v>
      </c>
      <c r="C286" s="138" t="s">
        <v>313</v>
      </c>
      <c r="D286" s="181" t="s">
        <v>276</v>
      </c>
      <c r="E286" s="181" t="s">
        <v>276</v>
      </c>
      <c r="F286" s="181" t="s">
        <v>276</v>
      </c>
      <c r="G286" s="181" t="s">
        <v>276</v>
      </c>
      <c r="H286" s="181" t="s">
        <v>276</v>
      </c>
      <c r="I286" s="181">
        <v>97400</v>
      </c>
      <c r="J286" s="181" t="s">
        <v>276</v>
      </c>
    </row>
    <row r="287" spans="1:10" ht="18">
      <c r="A287" s="164" t="s">
        <v>456</v>
      </c>
      <c r="B287" s="147"/>
      <c r="C287" s="138" t="s">
        <v>314</v>
      </c>
      <c r="D287" s="187" t="s">
        <v>276</v>
      </c>
      <c r="E287" s="187" t="s">
        <v>276</v>
      </c>
      <c r="F287" s="187" t="s">
        <v>276</v>
      </c>
      <c r="G287" s="187" t="s">
        <v>276</v>
      </c>
      <c r="H287" s="187" t="s">
        <v>276</v>
      </c>
      <c r="I287" s="187" t="s">
        <v>276</v>
      </c>
      <c r="J287" s="187" t="s">
        <v>276</v>
      </c>
    </row>
    <row r="288" spans="1:10" ht="18">
      <c r="A288" s="139"/>
      <c r="B288" s="148"/>
      <c r="C288" s="141" t="s">
        <v>288</v>
      </c>
      <c r="D288" s="187" t="s">
        <v>276</v>
      </c>
      <c r="E288" s="187" t="s">
        <v>276</v>
      </c>
      <c r="F288" s="187" t="s">
        <v>276</v>
      </c>
      <c r="G288" s="187" t="s">
        <v>276</v>
      </c>
      <c r="H288" s="187" t="s">
        <v>276</v>
      </c>
      <c r="I288" s="181">
        <f>SUM(I285:I287)</f>
        <v>147400</v>
      </c>
      <c r="J288" s="187" t="s">
        <v>276</v>
      </c>
    </row>
    <row r="289" spans="1:10" ht="18">
      <c r="A289" s="142"/>
      <c r="B289" s="401" t="s">
        <v>290</v>
      </c>
      <c r="C289" s="376"/>
      <c r="D289" s="181" t="s">
        <v>276</v>
      </c>
      <c r="E289" s="181" t="s">
        <v>276</v>
      </c>
      <c r="F289" s="181" t="s">
        <v>276</v>
      </c>
      <c r="G289" s="181" t="s">
        <v>276</v>
      </c>
      <c r="H289" s="181" t="s">
        <v>276</v>
      </c>
      <c r="I289" s="181">
        <v>147400</v>
      </c>
      <c r="J289" s="181" t="s">
        <v>276</v>
      </c>
    </row>
    <row r="290" spans="1:10" ht="18">
      <c r="A290" s="230" t="s">
        <v>438</v>
      </c>
      <c r="B290" s="163" t="s">
        <v>408</v>
      </c>
      <c r="C290" s="197" t="s">
        <v>440</v>
      </c>
      <c r="D290" s="187">
        <v>15000</v>
      </c>
      <c r="E290" s="187">
        <v>0</v>
      </c>
      <c r="F290" s="187">
        <v>0</v>
      </c>
      <c r="G290" s="187">
        <v>0</v>
      </c>
      <c r="H290" s="187">
        <v>0</v>
      </c>
      <c r="I290" s="187">
        <v>0</v>
      </c>
      <c r="J290" s="187">
        <v>0</v>
      </c>
    </row>
    <row r="291" spans="1:10" ht="18">
      <c r="A291" s="230" t="s">
        <v>439</v>
      </c>
      <c r="B291" s="164" t="s">
        <v>409</v>
      </c>
      <c r="C291" s="197" t="s">
        <v>441</v>
      </c>
      <c r="D291" s="187">
        <v>0</v>
      </c>
      <c r="E291" s="187">
        <v>0</v>
      </c>
      <c r="F291" s="187">
        <v>0</v>
      </c>
      <c r="G291" s="187">
        <v>0</v>
      </c>
      <c r="H291" s="187">
        <v>0</v>
      </c>
      <c r="I291" s="187">
        <f>1385800-386100-182000-123500</f>
        <v>694200</v>
      </c>
      <c r="J291" s="187">
        <v>0</v>
      </c>
    </row>
    <row r="292" spans="1:10" ht="18">
      <c r="A292" s="160"/>
      <c r="B292" s="296"/>
      <c r="C292" s="197" t="s">
        <v>442</v>
      </c>
      <c r="D292" s="187">
        <v>0</v>
      </c>
      <c r="E292" s="187">
        <v>0</v>
      </c>
      <c r="F292" s="187">
        <v>0</v>
      </c>
      <c r="G292" s="187">
        <v>0</v>
      </c>
      <c r="H292" s="187">
        <v>0</v>
      </c>
      <c r="I292" s="187">
        <v>0</v>
      </c>
      <c r="J292" s="187">
        <v>120000</v>
      </c>
    </row>
    <row r="293" spans="1:10" ht="18">
      <c r="A293" s="160"/>
      <c r="B293" s="149"/>
      <c r="C293" s="143" t="s">
        <v>288</v>
      </c>
      <c r="D293" s="187">
        <f>SUM(D290:D292)</f>
        <v>15000</v>
      </c>
      <c r="E293" s="187">
        <v>0</v>
      </c>
      <c r="F293" s="187">
        <v>0</v>
      </c>
      <c r="G293" s="187">
        <v>0</v>
      </c>
      <c r="H293" s="187">
        <v>0</v>
      </c>
      <c r="I293" s="187">
        <f>SUM(I291:I292)</f>
        <v>694200</v>
      </c>
      <c r="J293" s="187">
        <f>SUM(J292)</f>
        <v>120000</v>
      </c>
    </row>
    <row r="294" spans="1:10" ht="18">
      <c r="A294" s="142"/>
      <c r="B294" s="375" t="s">
        <v>290</v>
      </c>
      <c r="C294" s="376"/>
      <c r="D294" s="187">
        <f>SUM(D293)</f>
        <v>15000</v>
      </c>
      <c r="E294" s="187">
        <v>0</v>
      </c>
      <c r="F294" s="187">
        <v>0</v>
      </c>
      <c r="G294" s="187">
        <v>0</v>
      </c>
      <c r="H294" s="187">
        <v>0</v>
      </c>
      <c r="I294" s="187">
        <f>SUM(I293)</f>
        <v>694200</v>
      </c>
      <c r="J294" s="187">
        <f>SUM(J293)</f>
        <v>120000</v>
      </c>
    </row>
    <row r="295" spans="1:10" ht="18">
      <c r="A295" s="163" t="s">
        <v>53</v>
      </c>
      <c r="B295" s="163" t="s">
        <v>408</v>
      </c>
      <c r="C295" s="136" t="s">
        <v>437</v>
      </c>
      <c r="D295" s="403" t="s">
        <v>276</v>
      </c>
      <c r="E295" s="403">
        <v>20000</v>
      </c>
      <c r="F295" s="403" t="s">
        <v>276</v>
      </c>
      <c r="G295" s="403" t="s">
        <v>276</v>
      </c>
      <c r="H295" s="403" t="s">
        <v>276</v>
      </c>
      <c r="I295" s="403">
        <v>0</v>
      </c>
      <c r="J295" s="403">
        <v>0</v>
      </c>
    </row>
    <row r="296" spans="1:10" ht="18">
      <c r="A296" s="164" t="s">
        <v>457</v>
      </c>
      <c r="B296" s="164" t="s">
        <v>409</v>
      </c>
      <c r="C296" s="142"/>
      <c r="D296" s="404"/>
      <c r="E296" s="404"/>
      <c r="F296" s="404"/>
      <c r="G296" s="404"/>
      <c r="H296" s="404"/>
      <c r="I296" s="404"/>
      <c r="J296" s="404"/>
    </row>
    <row r="297" spans="1:10" ht="18">
      <c r="A297" s="142"/>
      <c r="B297" s="149"/>
      <c r="C297" s="143" t="s">
        <v>288</v>
      </c>
      <c r="D297" s="181" t="s">
        <v>276</v>
      </c>
      <c r="E297" s="181">
        <v>20000</v>
      </c>
      <c r="F297" s="181" t="s">
        <v>276</v>
      </c>
      <c r="G297" s="181" t="s">
        <v>276</v>
      </c>
      <c r="H297" s="181" t="s">
        <v>276</v>
      </c>
      <c r="I297" s="187">
        <v>0</v>
      </c>
      <c r="J297" s="187">
        <v>0</v>
      </c>
    </row>
    <row r="298" spans="1:10" ht="18">
      <c r="A298" s="138"/>
      <c r="B298" s="377" t="s">
        <v>290</v>
      </c>
      <c r="C298" s="376"/>
      <c r="D298" s="181">
        <v>0</v>
      </c>
      <c r="E298" s="181">
        <f>SUM(E297)</f>
        <v>20000</v>
      </c>
      <c r="F298" s="181">
        <v>0</v>
      </c>
      <c r="G298" s="181">
        <v>0</v>
      </c>
      <c r="H298" s="203">
        <v>0</v>
      </c>
      <c r="I298" s="182">
        <v>0</v>
      </c>
      <c r="J298" s="181">
        <v>0</v>
      </c>
    </row>
    <row r="299" spans="1:10" ht="18">
      <c r="A299" s="166"/>
      <c r="B299" s="162"/>
      <c r="C299" s="166"/>
      <c r="D299" s="188"/>
      <c r="E299" s="188"/>
      <c r="F299" s="188"/>
      <c r="G299" s="188"/>
      <c r="H299" s="188"/>
      <c r="I299" s="194"/>
      <c r="J299" s="188"/>
    </row>
    <row r="300" spans="1:10" ht="18">
      <c r="A300" s="133"/>
      <c r="B300" s="145"/>
      <c r="C300" s="133"/>
      <c r="D300" s="186"/>
      <c r="E300" s="204"/>
      <c r="F300" s="204"/>
      <c r="G300" s="186"/>
      <c r="H300" s="204"/>
      <c r="I300" s="180"/>
      <c r="J300" s="204"/>
    </row>
    <row r="301" spans="1:11" s="129" customFormat="1" ht="18">
      <c r="A301" s="150"/>
      <c r="B301" s="151"/>
      <c r="C301" s="152" t="s">
        <v>246</v>
      </c>
      <c r="D301" s="309" t="s">
        <v>283</v>
      </c>
      <c r="E301" s="292" t="s">
        <v>9</v>
      </c>
      <c r="F301" s="406" t="s">
        <v>424</v>
      </c>
      <c r="G301" s="392"/>
      <c r="H301" s="395" t="s">
        <v>427</v>
      </c>
      <c r="I301" s="396"/>
      <c r="J301" s="227" t="s">
        <v>283</v>
      </c>
      <c r="K301" s="299"/>
    </row>
    <row r="302" spans="1:11" s="129" customFormat="1" ht="18">
      <c r="A302" s="153"/>
      <c r="B302" s="399"/>
      <c r="C302" s="405"/>
      <c r="D302" s="309" t="s">
        <v>418</v>
      </c>
      <c r="E302" s="292" t="s">
        <v>10</v>
      </c>
      <c r="F302" s="407"/>
      <c r="G302" s="394"/>
      <c r="H302" s="397"/>
      <c r="I302" s="398"/>
      <c r="J302" s="228" t="s">
        <v>450</v>
      </c>
      <c r="K302" s="299"/>
    </row>
    <row r="303" spans="1:11" s="129" customFormat="1" ht="18">
      <c r="A303" s="173" t="s">
        <v>245</v>
      </c>
      <c r="B303" s="174"/>
      <c r="C303" s="154"/>
      <c r="D303" s="212" t="s">
        <v>413</v>
      </c>
      <c r="E303" s="179" t="s">
        <v>419</v>
      </c>
      <c r="F303" s="179" t="s">
        <v>419</v>
      </c>
      <c r="G303" s="386" t="s">
        <v>11</v>
      </c>
      <c r="H303" s="198" t="s">
        <v>12</v>
      </c>
      <c r="I303" s="179" t="s">
        <v>425</v>
      </c>
      <c r="J303" s="198" t="s">
        <v>428</v>
      </c>
      <c r="K303" s="299"/>
    </row>
    <row r="304" spans="1:11" s="129" customFormat="1" ht="18">
      <c r="A304" s="173"/>
      <c r="B304" s="174"/>
      <c r="C304" s="154"/>
      <c r="D304" s="214" t="s">
        <v>421</v>
      </c>
      <c r="E304" s="198" t="s">
        <v>458</v>
      </c>
      <c r="F304" s="198" t="s">
        <v>422</v>
      </c>
      <c r="G304" s="387"/>
      <c r="H304" s="198" t="s">
        <v>13</v>
      </c>
      <c r="I304" s="198" t="s">
        <v>426</v>
      </c>
      <c r="J304" s="198" t="s">
        <v>429</v>
      </c>
      <c r="K304" s="299"/>
    </row>
    <row r="305" spans="1:11" s="129" customFormat="1" ht="18">
      <c r="A305" s="216"/>
      <c r="B305" s="208"/>
      <c r="C305" s="217"/>
      <c r="D305" s="290" t="s">
        <v>414</v>
      </c>
      <c r="E305" s="191" t="s">
        <v>459</v>
      </c>
      <c r="F305" s="191" t="s">
        <v>423</v>
      </c>
      <c r="G305" s="388"/>
      <c r="H305" s="191"/>
      <c r="I305" s="191"/>
      <c r="J305" s="191"/>
      <c r="K305" s="299"/>
    </row>
    <row r="306" spans="1:10" ht="18">
      <c r="A306" s="163" t="s">
        <v>452</v>
      </c>
      <c r="B306" s="146" t="s">
        <v>408</v>
      </c>
      <c r="C306" s="138" t="s">
        <v>303</v>
      </c>
      <c r="D306" s="157" t="s">
        <v>276</v>
      </c>
      <c r="E306" s="181" t="s">
        <v>276</v>
      </c>
      <c r="F306" s="181" t="s">
        <v>276</v>
      </c>
      <c r="G306" s="181" t="s">
        <v>276</v>
      </c>
      <c r="H306" s="181" t="s">
        <v>276</v>
      </c>
      <c r="I306" s="181" t="s">
        <v>276</v>
      </c>
      <c r="J306" s="181" t="s">
        <v>276</v>
      </c>
    </row>
    <row r="307" spans="1:10" ht="18">
      <c r="A307" s="164" t="s">
        <v>453</v>
      </c>
      <c r="B307" s="147" t="s">
        <v>409</v>
      </c>
      <c r="C307" s="138" t="s">
        <v>304</v>
      </c>
      <c r="D307" s="170" t="s">
        <v>276</v>
      </c>
      <c r="E307" s="187" t="s">
        <v>276</v>
      </c>
      <c r="F307" s="187" t="s">
        <v>276</v>
      </c>
      <c r="G307" s="187" t="s">
        <v>276</v>
      </c>
      <c r="H307" s="187" t="s">
        <v>276</v>
      </c>
      <c r="I307" s="187" t="s">
        <v>276</v>
      </c>
      <c r="J307" s="187" t="s">
        <v>276</v>
      </c>
    </row>
    <row r="308" spans="1:10" ht="18">
      <c r="A308" s="139"/>
      <c r="B308" s="147"/>
      <c r="C308" s="138" t="s">
        <v>305</v>
      </c>
      <c r="D308" s="157" t="s">
        <v>276</v>
      </c>
      <c r="E308" s="181" t="s">
        <v>276</v>
      </c>
      <c r="F308" s="181">
        <v>7500</v>
      </c>
      <c r="G308" s="181" t="s">
        <v>276</v>
      </c>
      <c r="H308" s="181" t="s">
        <v>276</v>
      </c>
      <c r="I308" s="181" t="s">
        <v>276</v>
      </c>
      <c r="J308" s="181" t="s">
        <v>276</v>
      </c>
    </row>
    <row r="309" spans="1:10" ht="18">
      <c r="A309" s="139"/>
      <c r="B309" s="147"/>
      <c r="C309" s="138" t="s">
        <v>306</v>
      </c>
      <c r="D309" s="170" t="s">
        <v>276</v>
      </c>
      <c r="E309" s="187" t="s">
        <v>276</v>
      </c>
      <c r="F309" s="181" t="s">
        <v>276</v>
      </c>
      <c r="G309" s="187" t="s">
        <v>276</v>
      </c>
      <c r="H309" s="187" t="s">
        <v>276</v>
      </c>
      <c r="I309" s="187" t="s">
        <v>276</v>
      </c>
      <c r="J309" s="187" t="s">
        <v>276</v>
      </c>
    </row>
    <row r="310" spans="1:10" ht="18">
      <c r="A310" s="139"/>
      <c r="B310" s="147"/>
      <c r="C310" s="138" t="s">
        <v>307</v>
      </c>
      <c r="D310" s="157" t="s">
        <v>276</v>
      </c>
      <c r="E310" s="181" t="s">
        <v>276</v>
      </c>
      <c r="F310" s="181" t="s">
        <v>276</v>
      </c>
      <c r="G310" s="181" t="s">
        <v>276</v>
      </c>
      <c r="H310" s="181" t="s">
        <v>276</v>
      </c>
      <c r="I310" s="181" t="s">
        <v>276</v>
      </c>
      <c r="J310" s="181" t="s">
        <v>276</v>
      </c>
    </row>
    <row r="311" spans="1:10" ht="18">
      <c r="A311" s="139"/>
      <c r="B311" s="147"/>
      <c r="C311" s="138" t="s">
        <v>308</v>
      </c>
      <c r="D311" s="170" t="s">
        <v>276</v>
      </c>
      <c r="E311" s="187" t="s">
        <v>276</v>
      </c>
      <c r="F311" s="181">
        <v>10000</v>
      </c>
      <c r="G311" s="187" t="s">
        <v>276</v>
      </c>
      <c r="H311" s="187" t="s">
        <v>276</v>
      </c>
      <c r="I311" s="187" t="s">
        <v>276</v>
      </c>
      <c r="J311" s="187" t="s">
        <v>276</v>
      </c>
    </row>
    <row r="312" spans="1:10" ht="18">
      <c r="A312" s="139"/>
      <c r="B312" s="147"/>
      <c r="C312" s="138" t="s">
        <v>309</v>
      </c>
      <c r="D312" s="157" t="s">
        <v>276</v>
      </c>
      <c r="E312" s="181" t="s">
        <v>276</v>
      </c>
      <c r="F312" s="181" t="s">
        <v>276</v>
      </c>
      <c r="G312" s="181" t="s">
        <v>276</v>
      </c>
      <c r="H312" s="181" t="s">
        <v>276</v>
      </c>
      <c r="I312" s="181" t="s">
        <v>276</v>
      </c>
      <c r="J312" s="181" t="s">
        <v>276</v>
      </c>
    </row>
    <row r="313" spans="1:10" ht="18">
      <c r="A313" s="139"/>
      <c r="B313" s="147"/>
      <c r="C313" s="138" t="s">
        <v>275</v>
      </c>
      <c r="D313" s="170" t="s">
        <v>276</v>
      </c>
      <c r="E313" s="187" t="s">
        <v>276</v>
      </c>
      <c r="F313" s="181">
        <v>20000</v>
      </c>
      <c r="G313" s="187" t="s">
        <v>276</v>
      </c>
      <c r="H313" s="187" t="s">
        <v>276</v>
      </c>
      <c r="I313" s="187" t="s">
        <v>276</v>
      </c>
      <c r="J313" s="187" t="s">
        <v>276</v>
      </c>
    </row>
    <row r="314" spans="1:10" ht="18">
      <c r="A314" s="139"/>
      <c r="B314" s="148"/>
      <c r="C314" s="165" t="s">
        <v>288</v>
      </c>
      <c r="D314" s="157" t="s">
        <v>276</v>
      </c>
      <c r="E314" s="181" t="s">
        <v>276</v>
      </c>
      <c r="F314" s="181">
        <f>SUM(F306:F313)</f>
        <v>37500</v>
      </c>
      <c r="G314" s="181" t="s">
        <v>276</v>
      </c>
      <c r="H314" s="181" t="s">
        <v>276</v>
      </c>
      <c r="I314" s="181" t="s">
        <v>276</v>
      </c>
      <c r="J314" s="181" t="s">
        <v>276</v>
      </c>
    </row>
    <row r="315" spans="1:10" ht="18">
      <c r="A315" s="142"/>
      <c r="B315" s="377" t="s">
        <v>290</v>
      </c>
      <c r="C315" s="376"/>
      <c r="D315" s="157" t="s">
        <v>276</v>
      </c>
      <c r="E315" s="181" t="s">
        <v>276</v>
      </c>
      <c r="F315" s="181">
        <v>37500</v>
      </c>
      <c r="G315" s="181" t="s">
        <v>276</v>
      </c>
      <c r="H315" s="181" t="s">
        <v>276</v>
      </c>
      <c r="I315" s="181" t="s">
        <v>276</v>
      </c>
      <c r="J315" s="181" t="s">
        <v>276</v>
      </c>
    </row>
    <row r="316" spans="1:10" ht="18">
      <c r="A316" s="163" t="s">
        <v>454</v>
      </c>
      <c r="B316" s="146" t="s">
        <v>408</v>
      </c>
      <c r="C316" s="138" t="s">
        <v>312</v>
      </c>
      <c r="D316" s="170" t="s">
        <v>276</v>
      </c>
      <c r="E316" s="187" t="s">
        <v>276</v>
      </c>
      <c r="F316" s="187" t="s">
        <v>276</v>
      </c>
      <c r="G316" s="187" t="s">
        <v>276</v>
      </c>
      <c r="H316" s="187" t="s">
        <v>276</v>
      </c>
      <c r="I316" s="187" t="s">
        <v>276</v>
      </c>
      <c r="J316" s="187" t="s">
        <v>276</v>
      </c>
    </row>
    <row r="317" spans="1:10" ht="18">
      <c r="A317" s="164" t="s">
        <v>455</v>
      </c>
      <c r="B317" s="147" t="s">
        <v>409</v>
      </c>
      <c r="C317" s="138" t="s">
        <v>313</v>
      </c>
      <c r="D317" s="157" t="s">
        <v>276</v>
      </c>
      <c r="E317" s="181" t="s">
        <v>276</v>
      </c>
      <c r="F317" s="181" t="s">
        <v>276</v>
      </c>
      <c r="G317" s="181" t="s">
        <v>276</v>
      </c>
      <c r="H317" s="181" t="s">
        <v>276</v>
      </c>
      <c r="I317" s="181" t="s">
        <v>276</v>
      </c>
      <c r="J317" s="181" t="s">
        <v>276</v>
      </c>
    </row>
    <row r="318" spans="1:10" ht="18">
      <c r="A318" s="164" t="s">
        <v>456</v>
      </c>
      <c r="B318" s="147"/>
      <c r="C318" s="138" t="s">
        <v>443</v>
      </c>
      <c r="D318" s="170" t="s">
        <v>276</v>
      </c>
      <c r="E318" s="187">
        <v>40000</v>
      </c>
      <c r="F318" s="187" t="s">
        <v>276</v>
      </c>
      <c r="G318" s="187" t="s">
        <v>276</v>
      </c>
      <c r="H318" s="187" t="s">
        <v>276</v>
      </c>
      <c r="I318" s="187" t="s">
        <v>276</v>
      </c>
      <c r="J318" s="181">
        <v>1342600</v>
      </c>
    </row>
    <row r="319" spans="1:10" ht="18">
      <c r="A319" s="139"/>
      <c r="B319" s="148"/>
      <c r="C319" s="141" t="s">
        <v>288</v>
      </c>
      <c r="D319" s="170" t="s">
        <v>276</v>
      </c>
      <c r="E319" s="181">
        <v>40000</v>
      </c>
      <c r="F319" s="187" t="s">
        <v>276</v>
      </c>
      <c r="G319" s="181" t="s">
        <v>276</v>
      </c>
      <c r="H319" s="181" t="s">
        <v>276</v>
      </c>
      <c r="I319" s="181" t="s">
        <v>276</v>
      </c>
      <c r="J319" s="181">
        <v>1342600</v>
      </c>
    </row>
    <row r="320" spans="1:10" ht="18">
      <c r="A320" s="142"/>
      <c r="B320" s="401" t="s">
        <v>290</v>
      </c>
      <c r="C320" s="376"/>
      <c r="D320" s="157" t="s">
        <v>276</v>
      </c>
      <c r="E320" s="181">
        <v>40000</v>
      </c>
      <c r="F320" s="181" t="s">
        <v>276</v>
      </c>
      <c r="G320" s="187" t="s">
        <v>276</v>
      </c>
      <c r="H320" s="187" t="s">
        <v>276</v>
      </c>
      <c r="I320" s="187" t="s">
        <v>276</v>
      </c>
      <c r="J320" s="181">
        <f>SUM(J319)</f>
        <v>1342600</v>
      </c>
    </row>
    <row r="321" spans="1:10" ht="18">
      <c r="A321" s="230" t="s">
        <v>438</v>
      </c>
      <c r="B321" s="163" t="s">
        <v>408</v>
      </c>
      <c r="C321" s="197" t="s">
        <v>440</v>
      </c>
      <c r="D321" s="187">
        <v>0</v>
      </c>
      <c r="E321" s="187">
        <v>0</v>
      </c>
      <c r="F321" s="187">
        <v>0</v>
      </c>
      <c r="G321" s="187">
        <v>0</v>
      </c>
      <c r="H321" s="187">
        <v>0</v>
      </c>
      <c r="I321" s="187">
        <v>0</v>
      </c>
      <c r="J321" s="181">
        <v>0</v>
      </c>
    </row>
    <row r="322" spans="1:10" ht="18">
      <c r="A322" s="230" t="s">
        <v>439</v>
      </c>
      <c r="B322" s="164" t="s">
        <v>409</v>
      </c>
      <c r="C322" s="197" t="s">
        <v>441</v>
      </c>
      <c r="D322" s="187">
        <v>0</v>
      </c>
      <c r="E322" s="187">
        <v>0</v>
      </c>
      <c r="F322" s="187">
        <v>0</v>
      </c>
      <c r="G322" s="187">
        <v>0</v>
      </c>
      <c r="H322" s="187">
        <v>0</v>
      </c>
      <c r="I322" s="187">
        <v>0</v>
      </c>
      <c r="J322" s="187">
        <v>0</v>
      </c>
    </row>
    <row r="323" spans="1:10" ht="18">
      <c r="A323" s="160"/>
      <c r="B323" s="296"/>
      <c r="C323" s="197" t="s">
        <v>442</v>
      </c>
      <c r="D323" s="187">
        <v>0</v>
      </c>
      <c r="E323" s="187">
        <v>0</v>
      </c>
      <c r="F323" s="187">
        <v>0</v>
      </c>
      <c r="G323" s="187">
        <v>0</v>
      </c>
      <c r="H323" s="187">
        <v>0</v>
      </c>
      <c r="I323" s="187">
        <v>0</v>
      </c>
      <c r="J323" s="187">
        <v>0</v>
      </c>
    </row>
    <row r="324" spans="1:10" ht="18">
      <c r="A324" s="160"/>
      <c r="B324" s="149"/>
      <c r="C324" s="143" t="s">
        <v>288</v>
      </c>
      <c r="D324" s="187">
        <f>SUM(D321:D323)</f>
        <v>0</v>
      </c>
      <c r="E324" s="187">
        <v>0</v>
      </c>
      <c r="F324" s="187">
        <v>0</v>
      </c>
      <c r="G324" s="187">
        <v>0</v>
      </c>
      <c r="H324" s="187">
        <v>0</v>
      </c>
      <c r="I324" s="187">
        <f>SUM(I322:I323)</f>
        <v>0</v>
      </c>
      <c r="J324" s="187">
        <f>SUM(J323)</f>
        <v>0</v>
      </c>
    </row>
    <row r="325" spans="1:10" ht="18">
      <c r="A325" s="139"/>
      <c r="B325" s="375" t="s">
        <v>290</v>
      </c>
      <c r="C325" s="376"/>
      <c r="D325" s="187">
        <f>SUM(D324)</f>
        <v>0</v>
      </c>
      <c r="E325" s="187">
        <v>0</v>
      </c>
      <c r="F325" s="187">
        <v>0</v>
      </c>
      <c r="G325" s="187">
        <v>0</v>
      </c>
      <c r="H325" s="187">
        <v>0</v>
      </c>
      <c r="I325" s="187">
        <f>SUM(I324)</f>
        <v>0</v>
      </c>
      <c r="J325" s="187">
        <f>SUM(J324)</f>
        <v>0</v>
      </c>
    </row>
    <row r="326" spans="1:10" ht="18">
      <c r="A326" s="163" t="s">
        <v>53</v>
      </c>
      <c r="B326" s="146" t="s">
        <v>408</v>
      </c>
      <c r="C326" s="136" t="s">
        <v>437</v>
      </c>
      <c r="D326" s="403" t="s">
        <v>276</v>
      </c>
      <c r="E326" s="403">
        <v>0</v>
      </c>
      <c r="F326" s="403" t="s">
        <v>276</v>
      </c>
      <c r="G326" s="403" t="s">
        <v>276</v>
      </c>
      <c r="H326" s="403" t="s">
        <v>276</v>
      </c>
      <c r="I326" s="403">
        <v>0</v>
      </c>
      <c r="J326" s="403">
        <v>0</v>
      </c>
    </row>
    <row r="327" spans="1:10" ht="18">
      <c r="A327" s="164" t="s">
        <v>457</v>
      </c>
      <c r="B327" s="147" t="s">
        <v>409</v>
      </c>
      <c r="C327" s="142"/>
      <c r="D327" s="404"/>
      <c r="E327" s="404"/>
      <c r="F327" s="404"/>
      <c r="G327" s="404"/>
      <c r="H327" s="404"/>
      <c r="I327" s="404"/>
      <c r="J327" s="404"/>
    </row>
    <row r="328" spans="1:10" ht="18">
      <c r="A328" s="139"/>
      <c r="B328" s="148"/>
      <c r="C328" s="143" t="s">
        <v>288</v>
      </c>
      <c r="D328" s="181" t="s">
        <v>276</v>
      </c>
      <c r="E328" s="181">
        <v>0</v>
      </c>
      <c r="F328" s="181" t="s">
        <v>276</v>
      </c>
      <c r="G328" s="181" t="s">
        <v>276</v>
      </c>
      <c r="H328" s="181" t="s">
        <v>276</v>
      </c>
      <c r="I328" s="187">
        <v>0</v>
      </c>
      <c r="J328" s="187">
        <v>0</v>
      </c>
    </row>
    <row r="329" spans="1:10" ht="18">
      <c r="A329" s="142"/>
      <c r="B329" s="408" t="s">
        <v>290</v>
      </c>
      <c r="C329" s="376"/>
      <c r="D329" s="181">
        <v>0</v>
      </c>
      <c r="E329" s="181">
        <f>SUM(E328)</f>
        <v>0</v>
      </c>
      <c r="F329" s="181">
        <v>0</v>
      </c>
      <c r="G329" s="181">
        <v>0</v>
      </c>
      <c r="H329" s="203">
        <v>0</v>
      </c>
      <c r="I329" s="182">
        <v>0</v>
      </c>
      <c r="J329" s="181">
        <v>0</v>
      </c>
    </row>
    <row r="330" spans="1:11" s="294" customFormat="1" ht="18">
      <c r="A330" s="166"/>
      <c r="B330" s="167"/>
      <c r="C330" s="167"/>
      <c r="D330" s="188"/>
      <c r="E330" s="188"/>
      <c r="F330" s="188"/>
      <c r="G330" s="188"/>
      <c r="H330" s="188"/>
      <c r="I330" s="194"/>
      <c r="J330" s="188"/>
      <c r="K330" s="293"/>
    </row>
    <row r="331" spans="1:11" s="129" customFormat="1" ht="18">
      <c r="A331" s="150"/>
      <c r="B331" s="151"/>
      <c r="C331" s="152" t="s">
        <v>246</v>
      </c>
      <c r="D331" s="207" t="s">
        <v>283</v>
      </c>
      <c r="E331" s="386" t="s">
        <v>266</v>
      </c>
      <c r="F331" s="302"/>
      <c r="G331" s="307"/>
      <c r="H331" s="302"/>
      <c r="I331" s="301"/>
      <c r="J331" s="302"/>
      <c r="K331" s="299"/>
    </row>
    <row r="332" spans="1:11" s="129" customFormat="1" ht="18">
      <c r="A332" s="153"/>
      <c r="B332" s="144"/>
      <c r="C332" s="154"/>
      <c r="D332" s="172" t="s">
        <v>51</v>
      </c>
      <c r="E332" s="387"/>
      <c r="F332" s="302"/>
      <c r="G332" s="307"/>
      <c r="H332" s="302"/>
      <c r="I332" s="301"/>
      <c r="J332" s="302"/>
      <c r="K332" s="299"/>
    </row>
    <row r="333" spans="1:11" s="129" customFormat="1" ht="18">
      <c r="A333" s="173" t="s">
        <v>245</v>
      </c>
      <c r="B333" s="174"/>
      <c r="C333" s="154"/>
      <c r="D333" s="389" t="s">
        <v>51</v>
      </c>
      <c r="E333" s="387"/>
      <c r="F333" s="302"/>
      <c r="G333" s="307"/>
      <c r="H333" s="302"/>
      <c r="I333" s="301"/>
      <c r="J333" s="302"/>
      <c r="K333" s="299"/>
    </row>
    <row r="334" spans="1:11" s="129" customFormat="1" ht="18">
      <c r="A334" s="216"/>
      <c r="B334" s="208"/>
      <c r="C334" s="217"/>
      <c r="D334" s="390"/>
      <c r="E334" s="388"/>
      <c r="F334" s="302"/>
      <c r="G334" s="307"/>
      <c r="H334" s="302"/>
      <c r="I334" s="301"/>
      <c r="J334" s="302"/>
      <c r="K334" s="299"/>
    </row>
    <row r="335" spans="1:10" ht="18">
      <c r="A335" s="163" t="s">
        <v>452</v>
      </c>
      <c r="B335" s="146" t="s">
        <v>408</v>
      </c>
      <c r="C335" s="138" t="s">
        <v>303</v>
      </c>
      <c r="D335" s="181">
        <v>0</v>
      </c>
      <c r="E335" s="181">
        <f>SUM(D275,F275,H275,)</f>
        <v>44600</v>
      </c>
      <c r="F335" s="204"/>
      <c r="G335" s="186"/>
      <c r="H335" s="204"/>
      <c r="I335" s="180"/>
      <c r="J335" s="204"/>
    </row>
    <row r="336" spans="1:10" ht="18">
      <c r="A336" s="164" t="s">
        <v>453</v>
      </c>
      <c r="B336" s="147" t="s">
        <v>409</v>
      </c>
      <c r="C336" s="138" t="s">
        <v>304</v>
      </c>
      <c r="D336" s="181">
        <v>0</v>
      </c>
      <c r="E336" s="181">
        <f>SUM(H276)</f>
        <v>10500</v>
      </c>
      <c r="F336" s="204"/>
      <c r="G336" s="186"/>
      <c r="H336" s="204"/>
      <c r="I336" s="180"/>
      <c r="J336" s="204"/>
    </row>
    <row r="337" spans="1:10" ht="18">
      <c r="A337" s="139"/>
      <c r="B337" s="147"/>
      <c r="C337" s="138" t="s">
        <v>305</v>
      </c>
      <c r="D337" s="181">
        <v>0</v>
      </c>
      <c r="E337" s="181">
        <f>SUM(F308)</f>
        <v>7500</v>
      </c>
      <c r="F337" s="204"/>
      <c r="G337" s="186"/>
      <c r="H337" s="204"/>
      <c r="I337" s="180"/>
      <c r="J337" s="204"/>
    </row>
    <row r="338" spans="1:10" ht="18">
      <c r="A338" s="139"/>
      <c r="B338" s="147"/>
      <c r="C338" s="138" t="s">
        <v>306</v>
      </c>
      <c r="D338" s="181">
        <v>0</v>
      </c>
      <c r="E338" s="181">
        <f>SUM(D278,H278,)</f>
        <v>20000</v>
      </c>
      <c r="F338" s="204"/>
      <c r="G338" s="186"/>
      <c r="H338" s="204"/>
      <c r="I338" s="180"/>
      <c r="J338" s="204"/>
    </row>
    <row r="339" spans="1:10" ht="18">
      <c r="A339" s="139"/>
      <c r="B339" s="147"/>
      <c r="C339" s="138" t="s">
        <v>307</v>
      </c>
      <c r="D339" s="181">
        <v>0</v>
      </c>
      <c r="E339" s="181">
        <f>SUM(D279,I279,)</f>
        <v>60000</v>
      </c>
      <c r="F339" s="204"/>
      <c r="G339" s="186"/>
      <c r="H339" s="204"/>
      <c r="I339" s="180"/>
      <c r="J339" s="204"/>
    </row>
    <row r="340" spans="1:10" ht="18">
      <c r="A340" s="139"/>
      <c r="B340" s="147"/>
      <c r="C340" s="138" t="s">
        <v>308</v>
      </c>
      <c r="D340" s="181">
        <v>0</v>
      </c>
      <c r="E340" s="181">
        <f>SUM(D280,F311)</f>
        <v>20000</v>
      </c>
      <c r="F340" s="204"/>
      <c r="G340" s="186"/>
      <c r="H340" s="204"/>
      <c r="I340" s="180"/>
      <c r="J340" s="204"/>
    </row>
    <row r="341" spans="1:10" ht="18">
      <c r="A341" s="139"/>
      <c r="B341" s="147"/>
      <c r="C341" s="138" t="s">
        <v>309</v>
      </c>
      <c r="D341" s="181">
        <v>0</v>
      </c>
      <c r="E341" s="181">
        <f>SUM(I281)</f>
        <v>34500</v>
      </c>
      <c r="F341" s="204"/>
      <c r="G341" s="186"/>
      <c r="H341" s="204"/>
      <c r="I341" s="180"/>
      <c r="J341" s="204"/>
    </row>
    <row r="342" spans="1:10" ht="18">
      <c r="A342" s="139"/>
      <c r="B342" s="147"/>
      <c r="C342" s="138" t="s">
        <v>275</v>
      </c>
      <c r="D342" s="181">
        <v>0</v>
      </c>
      <c r="E342" s="181">
        <f>SUM(D282,F282,H282,F313)</f>
        <v>71060.15</v>
      </c>
      <c r="F342" s="204"/>
      <c r="G342" s="186"/>
      <c r="H342" s="204"/>
      <c r="I342" s="180"/>
      <c r="J342" s="204"/>
    </row>
    <row r="343" spans="1:10" ht="18">
      <c r="A343" s="139"/>
      <c r="B343" s="148"/>
      <c r="C343" s="165" t="s">
        <v>288</v>
      </c>
      <c r="D343" s="181">
        <v>0</v>
      </c>
      <c r="E343" s="181">
        <f>SUM(E335:E342)</f>
        <v>268160.15</v>
      </c>
      <c r="F343" s="204"/>
      <c r="G343" s="186"/>
      <c r="H343" s="204"/>
      <c r="I343" s="180"/>
      <c r="J343" s="204"/>
    </row>
    <row r="344" spans="1:10" ht="18">
      <c r="A344" s="142"/>
      <c r="B344" s="377" t="s">
        <v>290</v>
      </c>
      <c r="C344" s="376"/>
      <c r="D344" s="181">
        <v>0</v>
      </c>
      <c r="E344" s="181">
        <f>SUM(E343)</f>
        <v>268160.15</v>
      </c>
      <c r="F344" s="204"/>
      <c r="G344" s="186"/>
      <c r="H344" s="204"/>
      <c r="I344" s="180"/>
      <c r="J344" s="204"/>
    </row>
    <row r="345" spans="1:10" ht="18">
      <c r="A345" s="163" t="s">
        <v>454</v>
      </c>
      <c r="B345" s="146" t="s">
        <v>408</v>
      </c>
      <c r="C345" s="138" t="s">
        <v>312</v>
      </c>
      <c r="D345" s="181">
        <v>0</v>
      </c>
      <c r="E345" s="181">
        <f>SUM(I285)</f>
        <v>50000</v>
      </c>
      <c r="F345" s="204"/>
      <c r="G345" s="186"/>
      <c r="H345" s="204"/>
      <c r="I345" s="180"/>
      <c r="J345" s="204"/>
    </row>
    <row r="346" spans="1:10" ht="18">
      <c r="A346" s="164" t="s">
        <v>455</v>
      </c>
      <c r="B346" s="147" t="s">
        <v>409</v>
      </c>
      <c r="C346" s="138" t="s">
        <v>313</v>
      </c>
      <c r="D346" s="181">
        <v>0</v>
      </c>
      <c r="E346" s="181">
        <f>SUM(I286)</f>
        <v>97400</v>
      </c>
      <c r="F346" s="204"/>
      <c r="G346" s="186"/>
      <c r="H346" s="204"/>
      <c r="I346" s="180"/>
      <c r="J346" s="204"/>
    </row>
    <row r="347" spans="1:10" ht="18">
      <c r="A347" s="164" t="s">
        <v>456</v>
      </c>
      <c r="B347" s="147"/>
      <c r="C347" s="138" t="s">
        <v>314</v>
      </c>
      <c r="D347" s="181">
        <v>0</v>
      </c>
      <c r="E347" s="181">
        <f>SUM(E318,J318)</f>
        <v>1382600</v>
      </c>
      <c r="F347" s="204"/>
      <c r="G347" s="186"/>
      <c r="H347" s="204"/>
      <c r="I347" s="180"/>
      <c r="J347" s="204"/>
    </row>
    <row r="348" spans="1:10" ht="18">
      <c r="A348" s="139"/>
      <c r="B348" s="148"/>
      <c r="C348" s="141" t="s">
        <v>288</v>
      </c>
      <c r="D348" s="181">
        <v>0</v>
      </c>
      <c r="E348" s="181">
        <f>SUM(E345:E347)</f>
        <v>1530000</v>
      </c>
      <c r="F348" s="204"/>
      <c r="G348" s="186"/>
      <c r="H348" s="204"/>
      <c r="I348" s="180"/>
      <c r="J348" s="204"/>
    </row>
    <row r="349" spans="1:10" ht="18">
      <c r="A349" s="142"/>
      <c r="B349" s="401" t="s">
        <v>290</v>
      </c>
      <c r="C349" s="376"/>
      <c r="D349" s="181">
        <v>0</v>
      </c>
      <c r="E349" s="181">
        <f>SUM(E348)</f>
        <v>1530000</v>
      </c>
      <c r="F349" s="204"/>
      <c r="G349" s="186"/>
      <c r="H349" s="204"/>
      <c r="I349" s="180"/>
      <c r="J349" s="204"/>
    </row>
    <row r="350" spans="1:10" ht="18">
      <c r="A350" s="230" t="s">
        <v>438</v>
      </c>
      <c r="B350" s="224" t="s">
        <v>408</v>
      </c>
      <c r="C350" s="197" t="s">
        <v>440</v>
      </c>
      <c r="D350" s="203">
        <v>0</v>
      </c>
      <c r="E350" s="181">
        <f>SUM(D290)</f>
        <v>15000</v>
      </c>
      <c r="F350" s="204"/>
      <c r="G350" s="186"/>
      <c r="H350" s="204"/>
      <c r="I350" s="180"/>
      <c r="J350" s="204"/>
    </row>
    <row r="351" spans="1:10" ht="18">
      <c r="A351" s="230" t="s">
        <v>439</v>
      </c>
      <c r="B351" s="168" t="s">
        <v>409</v>
      </c>
      <c r="C351" s="197" t="s">
        <v>441</v>
      </c>
      <c r="D351" s="203">
        <v>0</v>
      </c>
      <c r="E351" s="181">
        <f>SUM(I293)</f>
        <v>694200</v>
      </c>
      <c r="F351" s="204"/>
      <c r="G351" s="186"/>
      <c r="H351" s="204"/>
      <c r="I351" s="180"/>
      <c r="J351" s="204"/>
    </row>
    <row r="352" spans="1:10" ht="18">
      <c r="A352" s="160"/>
      <c r="B352" s="168"/>
      <c r="C352" s="197" t="s">
        <v>442</v>
      </c>
      <c r="D352" s="203">
        <v>0</v>
      </c>
      <c r="E352" s="181">
        <f>SUM(J293)</f>
        <v>120000</v>
      </c>
      <c r="F352" s="204"/>
      <c r="G352" s="186"/>
      <c r="H352" s="204"/>
      <c r="I352" s="180"/>
      <c r="J352" s="204"/>
    </row>
    <row r="353" spans="1:10" ht="18">
      <c r="A353" s="160"/>
      <c r="B353" s="149"/>
      <c r="C353" s="143" t="s">
        <v>288</v>
      </c>
      <c r="D353" s="203">
        <v>0</v>
      </c>
      <c r="E353" s="181">
        <f>SUM(E350:E352)</f>
        <v>829200</v>
      </c>
      <c r="F353" s="204"/>
      <c r="G353" s="186"/>
      <c r="H353" s="204"/>
      <c r="I353" s="180"/>
      <c r="J353" s="204"/>
    </row>
    <row r="354" spans="1:10" ht="18">
      <c r="A354" s="142"/>
      <c r="B354" s="375" t="s">
        <v>290</v>
      </c>
      <c r="C354" s="376"/>
      <c r="D354" s="203">
        <v>0</v>
      </c>
      <c r="E354" s="181">
        <f>SUM(E353)</f>
        <v>829200</v>
      </c>
      <c r="F354" s="204"/>
      <c r="G354" s="186"/>
      <c r="H354" s="204"/>
      <c r="I354" s="180"/>
      <c r="J354" s="204"/>
    </row>
    <row r="355" spans="1:10" ht="18">
      <c r="A355" s="163" t="s">
        <v>53</v>
      </c>
      <c r="B355" s="163" t="s">
        <v>408</v>
      </c>
      <c r="C355" s="136" t="s">
        <v>437</v>
      </c>
      <c r="D355" s="403">
        <v>0</v>
      </c>
      <c r="E355" s="403">
        <f>SUM(E297)</f>
        <v>20000</v>
      </c>
      <c r="F355" s="204"/>
      <c r="G355" s="186"/>
      <c r="H355" s="204"/>
      <c r="I355" s="180"/>
      <c r="J355" s="204"/>
    </row>
    <row r="356" spans="1:10" ht="18">
      <c r="A356" s="164" t="s">
        <v>457</v>
      </c>
      <c r="B356" s="164" t="s">
        <v>409</v>
      </c>
      <c r="C356" s="142"/>
      <c r="D356" s="404"/>
      <c r="E356" s="404"/>
      <c r="F356" s="204"/>
      <c r="G356" s="186"/>
      <c r="H356" s="204"/>
      <c r="I356" s="180"/>
      <c r="J356" s="204"/>
    </row>
    <row r="357" spans="1:10" ht="18">
      <c r="A357" s="139"/>
      <c r="B357" s="164"/>
      <c r="C357" s="175" t="s">
        <v>288</v>
      </c>
      <c r="D357" s="187">
        <v>0</v>
      </c>
      <c r="E357" s="187">
        <f>SUM(E355)</f>
        <v>20000</v>
      </c>
      <c r="F357" s="204"/>
      <c r="G357" s="186"/>
      <c r="H357" s="204"/>
      <c r="I357" s="180"/>
      <c r="J357" s="204"/>
    </row>
    <row r="358" spans="1:10" ht="18">
      <c r="A358" s="142"/>
      <c r="B358" s="409" t="s">
        <v>290</v>
      </c>
      <c r="C358" s="409"/>
      <c r="D358" s="181">
        <v>0</v>
      </c>
      <c r="E358" s="181">
        <f>SUM(E357)</f>
        <v>20000</v>
      </c>
      <c r="F358" s="204"/>
      <c r="G358" s="186"/>
      <c r="H358" s="204"/>
      <c r="I358" s="180"/>
      <c r="J358" s="204"/>
    </row>
    <row r="359" spans="1:10" ht="18">
      <c r="A359" s="166"/>
      <c r="B359" s="162"/>
      <c r="C359" s="166"/>
      <c r="D359" s="225"/>
      <c r="E359" s="188"/>
      <c r="F359" s="204"/>
      <c r="G359" s="186"/>
      <c r="H359" s="204"/>
      <c r="I359" s="180"/>
      <c r="J359" s="204"/>
    </row>
    <row r="360" spans="1:10" ht="18">
      <c r="A360" s="166"/>
      <c r="B360" s="162"/>
      <c r="C360" s="166"/>
      <c r="D360" s="225"/>
      <c r="E360" s="188"/>
      <c r="F360" s="204"/>
      <c r="G360" s="186"/>
      <c r="H360" s="204"/>
      <c r="I360" s="180"/>
      <c r="J360" s="204"/>
    </row>
    <row r="361" spans="1:11" s="129" customFormat="1" ht="18">
      <c r="A361" s="410"/>
      <c r="B361" s="411"/>
      <c r="C361" s="412"/>
      <c r="D361" s="364" t="s">
        <v>238</v>
      </c>
      <c r="E361" s="365"/>
      <c r="F361" s="366"/>
      <c r="G361" s="199" t="s">
        <v>7</v>
      </c>
      <c r="H361" s="364" t="s">
        <v>240</v>
      </c>
      <c r="I361" s="366"/>
      <c r="J361" s="207" t="s">
        <v>444</v>
      </c>
      <c r="K361" s="299"/>
    </row>
    <row r="362" spans="1:11" s="129" customFormat="1" ht="18">
      <c r="A362" s="413"/>
      <c r="B362" s="414"/>
      <c r="C362" s="415"/>
      <c r="D362" s="367"/>
      <c r="E362" s="368"/>
      <c r="F362" s="369"/>
      <c r="G362" s="200" t="s">
        <v>8</v>
      </c>
      <c r="H362" s="367"/>
      <c r="I362" s="370"/>
      <c r="J362" s="291" t="s">
        <v>445</v>
      </c>
      <c r="K362" s="299"/>
    </row>
    <row r="363" spans="1:11" s="129" customFormat="1" ht="18">
      <c r="A363" s="413"/>
      <c r="B363" s="414"/>
      <c r="C363" s="415"/>
      <c r="D363" s="179" t="s">
        <v>260</v>
      </c>
      <c r="E363" s="179" t="s">
        <v>416</v>
      </c>
      <c r="F363" s="179" t="s">
        <v>260</v>
      </c>
      <c r="G363" s="179" t="s">
        <v>446</v>
      </c>
      <c r="H363" s="201" t="s">
        <v>412</v>
      </c>
      <c r="I363" s="199" t="s">
        <v>379</v>
      </c>
      <c r="J363" s="179" t="s">
        <v>412</v>
      </c>
      <c r="K363" s="299"/>
    </row>
    <row r="364" spans="1:11" s="129" customFormat="1" ht="18">
      <c r="A364" s="416"/>
      <c r="B364" s="417"/>
      <c r="C364" s="418"/>
      <c r="D364" s="191" t="s">
        <v>257</v>
      </c>
      <c r="E364" s="191" t="s">
        <v>417</v>
      </c>
      <c r="F364" s="191" t="s">
        <v>259</v>
      </c>
      <c r="G364" s="191" t="s">
        <v>447</v>
      </c>
      <c r="H364" s="200" t="s">
        <v>241</v>
      </c>
      <c r="I364" s="200" t="s">
        <v>380</v>
      </c>
      <c r="J364" s="191" t="s">
        <v>448</v>
      </c>
      <c r="K364" s="299"/>
    </row>
    <row r="365" spans="1:10" ht="18">
      <c r="A365" s="377" t="s">
        <v>316</v>
      </c>
      <c r="B365" s="408"/>
      <c r="C365" s="376"/>
      <c r="D365" s="183">
        <f>SUM(D24,D102,D112,D118,D197,D204,D283,D293,)</f>
        <v>6250877.71</v>
      </c>
      <c r="E365" s="181">
        <f>SUM(E118,E297)</f>
        <v>35000</v>
      </c>
      <c r="F365" s="181">
        <f>SUM(F102,F112,F118,F197,F283,)</f>
        <v>1713506</v>
      </c>
      <c r="G365" s="181">
        <f>SUM(G118,)</f>
        <v>230000</v>
      </c>
      <c r="H365" s="181">
        <f>SUM(H102,H112,H118,H197,H204,H283,)</f>
        <v>959836.6799999999</v>
      </c>
      <c r="I365" s="193">
        <f>SUM(I118,I197,I283,I288,I293,)</f>
        <v>2253010</v>
      </c>
      <c r="J365" s="185">
        <f>SUM(J102,J112,J118,J197,J293,)</f>
        <v>500000</v>
      </c>
    </row>
    <row r="366" spans="1:10" ht="18">
      <c r="A366" s="377" t="s">
        <v>317</v>
      </c>
      <c r="B366" s="408"/>
      <c r="C366" s="376"/>
      <c r="D366" s="181">
        <v>0</v>
      </c>
      <c r="E366" s="181">
        <v>0</v>
      </c>
      <c r="F366" s="181">
        <v>0</v>
      </c>
      <c r="G366" s="181">
        <v>0</v>
      </c>
      <c r="H366" s="181">
        <v>0</v>
      </c>
      <c r="I366" s="182">
        <f>SUM(I105)</f>
        <v>9000</v>
      </c>
      <c r="J366" s="181">
        <v>0</v>
      </c>
    </row>
    <row r="367" spans="1:10" ht="18">
      <c r="A367" s="133"/>
      <c r="B367" s="145"/>
      <c r="C367" s="133"/>
      <c r="D367" s="186"/>
      <c r="E367" s="204"/>
      <c r="F367" s="204"/>
      <c r="G367" s="186"/>
      <c r="H367" s="204"/>
      <c r="I367" s="180"/>
      <c r="J367" s="204"/>
    </row>
    <row r="368" spans="1:11" s="129" customFormat="1" ht="18">
      <c r="A368" s="410"/>
      <c r="B368" s="411"/>
      <c r="C368" s="412"/>
      <c r="D368" s="292" t="s">
        <v>283</v>
      </c>
      <c r="E368" s="292" t="s">
        <v>9</v>
      </c>
      <c r="F368" s="406" t="s">
        <v>424</v>
      </c>
      <c r="G368" s="392"/>
      <c r="H368" s="395" t="s">
        <v>427</v>
      </c>
      <c r="I368" s="396"/>
      <c r="J368" s="227" t="s">
        <v>283</v>
      </c>
      <c r="K368" s="299"/>
    </row>
    <row r="369" spans="1:11" s="129" customFormat="1" ht="18">
      <c r="A369" s="413"/>
      <c r="B369" s="414"/>
      <c r="C369" s="415"/>
      <c r="D369" s="292" t="s">
        <v>418</v>
      </c>
      <c r="E369" s="292" t="s">
        <v>10</v>
      </c>
      <c r="F369" s="407"/>
      <c r="G369" s="394"/>
      <c r="H369" s="397"/>
      <c r="I369" s="398"/>
      <c r="J369" s="228" t="s">
        <v>450</v>
      </c>
      <c r="K369" s="299"/>
    </row>
    <row r="370" spans="1:11" s="129" customFormat="1" ht="18">
      <c r="A370" s="413"/>
      <c r="B370" s="414"/>
      <c r="C370" s="415"/>
      <c r="D370" s="179" t="s">
        <v>413</v>
      </c>
      <c r="E370" s="179" t="s">
        <v>419</v>
      </c>
      <c r="F370" s="179" t="s">
        <v>419</v>
      </c>
      <c r="G370" s="386" t="s">
        <v>11</v>
      </c>
      <c r="H370" s="198" t="s">
        <v>12</v>
      </c>
      <c r="I370" s="179" t="s">
        <v>425</v>
      </c>
      <c r="J370" s="198" t="s">
        <v>428</v>
      </c>
      <c r="K370" s="299"/>
    </row>
    <row r="371" spans="1:11" s="129" customFormat="1" ht="18">
      <c r="A371" s="413"/>
      <c r="B371" s="414"/>
      <c r="C371" s="415"/>
      <c r="D371" s="198" t="s">
        <v>421</v>
      </c>
      <c r="E371" s="198" t="s">
        <v>458</v>
      </c>
      <c r="F371" s="198" t="s">
        <v>422</v>
      </c>
      <c r="G371" s="387"/>
      <c r="H371" s="198" t="s">
        <v>13</v>
      </c>
      <c r="I371" s="198" t="s">
        <v>426</v>
      </c>
      <c r="J371" s="198" t="s">
        <v>429</v>
      </c>
      <c r="K371" s="299"/>
    </row>
    <row r="372" spans="1:11" s="129" customFormat="1" ht="18">
      <c r="A372" s="416"/>
      <c r="B372" s="417"/>
      <c r="C372" s="418"/>
      <c r="D372" s="198" t="s">
        <v>414</v>
      </c>
      <c r="E372" s="198" t="s">
        <v>459</v>
      </c>
      <c r="F372" s="198" t="s">
        <v>423</v>
      </c>
      <c r="G372" s="387"/>
      <c r="H372" s="198"/>
      <c r="I372" s="191"/>
      <c r="J372" s="191"/>
      <c r="K372" s="299"/>
    </row>
    <row r="373" spans="1:10" ht="18">
      <c r="A373" s="377" t="s">
        <v>316</v>
      </c>
      <c r="B373" s="408"/>
      <c r="C373" s="376"/>
      <c r="D373" s="183">
        <f>SUM(D149,D324)</f>
        <v>170000</v>
      </c>
      <c r="E373" s="181">
        <f>SUM(E149,E319,E328)</f>
        <v>130000</v>
      </c>
      <c r="F373" s="181">
        <f>SUM(F133,F140,F149,F228,F314,)</f>
        <v>1118750</v>
      </c>
      <c r="G373" s="181">
        <f>SUM(G149,)</f>
        <v>250000</v>
      </c>
      <c r="H373" s="181">
        <f>SUM(H149,H228,)</f>
        <v>160000</v>
      </c>
      <c r="I373" s="182">
        <f>SUM(I149,)</f>
        <v>42440</v>
      </c>
      <c r="J373" s="181">
        <f>SUM(J319)</f>
        <v>1342600</v>
      </c>
    </row>
    <row r="374" spans="1:10" ht="18">
      <c r="A374" s="377" t="s">
        <v>317</v>
      </c>
      <c r="B374" s="408"/>
      <c r="C374" s="376"/>
      <c r="D374" s="183">
        <v>0</v>
      </c>
      <c r="E374" s="181">
        <v>0</v>
      </c>
      <c r="F374" s="181">
        <v>0</v>
      </c>
      <c r="G374" s="181">
        <v>0</v>
      </c>
      <c r="H374" s="181">
        <v>0</v>
      </c>
      <c r="I374" s="182">
        <v>0</v>
      </c>
      <c r="J374" s="181">
        <v>0</v>
      </c>
    </row>
    <row r="375" spans="1:10" ht="18">
      <c r="A375" s="133"/>
      <c r="B375" s="145"/>
      <c r="C375" s="133"/>
      <c r="D375" s="186"/>
      <c r="E375" s="204"/>
      <c r="F375" s="204"/>
      <c r="G375" s="186"/>
      <c r="H375" s="204"/>
      <c r="I375" s="180"/>
      <c r="J375" s="204"/>
    </row>
    <row r="376" spans="1:11" s="129" customFormat="1" ht="18">
      <c r="A376" s="410"/>
      <c r="B376" s="411"/>
      <c r="C376" s="412"/>
      <c r="D376" s="207" t="s">
        <v>283</v>
      </c>
      <c r="E376" s="419"/>
      <c r="F376" s="302"/>
      <c r="G376" s="307"/>
      <c r="H376" s="302"/>
      <c r="I376" s="301"/>
      <c r="J376" s="302"/>
      <c r="K376" s="299"/>
    </row>
    <row r="377" spans="1:11" s="129" customFormat="1" ht="18">
      <c r="A377" s="413"/>
      <c r="B377" s="414"/>
      <c r="C377" s="415"/>
      <c r="D377" s="172" t="s">
        <v>51</v>
      </c>
      <c r="E377" s="419"/>
      <c r="F377" s="302"/>
      <c r="G377" s="307"/>
      <c r="H377" s="302"/>
      <c r="I377" s="301"/>
      <c r="J377" s="302"/>
      <c r="K377" s="299"/>
    </row>
    <row r="378" spans="1:11" s="129" customFormat="1" ht="18">
      <c r="A378" s="413"/>
      <c r="B378" s="414"/>
      <c r="C378" s="415"/>
      <c r="D378" s="389" t="s">
        <v>51</v>
      </c>
      <c r="E378" s="419"/>
      <c r="F378" s="302"/>
      <c r="G378" s="307"/>
      <c r="H378" s="302"/>
      <c r="I378" s="301"/>
      <c r="J378" s="302"/>
      <c r="K378" s="299"/>
    </row>
    <row r="379" spans="1:11" s="129" customFormat="1" ht="18">
      <c r="A379" s="416"/>
      <c r="B379" s="417"/>
      <c r="C379" s="418"/>
      <c r="D379" s="390"/>
      <c r="E379" s="419"/>
      <c r="F379" s="302"/>
      <c r="G379" s="307"/>
      <c r="H379" s="302"/>
      <c r="I379" s="301"/>
      <c r="J379" s="302"/>
      <c r="K379" s="299"/>
    </row>
    <row r="380" spans="1:10" ht="18">
      <c r="A380" s="375" t="s">
        <v>316</v>
      </c>
      <c r="B380" s="402"/>
      <c r="C380" s="420"/>
      <c r="D380" s="181">
        <f>SUM(D70)</f>
        <v>425898</v>
      </c>
      <c r="E380" s="188"/>
      <c r="F380" s="204"/>
      <c r="G380" s="186"/>
      <c r="H380" s="204"/>
      <c r="I380" s="180"/>
      <c r="J380" s="204"/>
    </row>
    <row r="381" spans="1:10" ht="18">
      <c r="A381" s="377" t="s">
        <v>317</v>
      </c>
      <c r="B381" s="408"/>
      <c r="C381" s="376"/>
      <c r="D381" s="181">
        <f>SUM(D74,E165)</f>
        <v>1944560</v>
      </c>
      <c r="E381" s="188"/>
      <c r="F381" s="204"/>
      <c r="G381" s="186"/>
      <c r="H381" s="204"/>
      <c r="I381" s="180"/>
      <c r="J381" s="204"/>
    </row>
    <row r="382" spans="1:10" ht="18">
      <c r="A382" s="133"/>
      <c r="B382" s="145"/>
      <c r="C382" s="133"/>
      <c r="D382" s="186"/>
      <c r="E382" s="204"/>
      <c r="F382" s="204"/>
      <c r="G382" s="186"/>
      <c r="H382" s="204"/>
      <c r="I382" s="180"/>
      <c r="J382" s="204"/>
    </row>
    <row r="383" spans="1:11" s="129" customFormat="1" ht="18">
      <c r="A383" s="410"/>
      <c r="B383" s="411"/>
      <c r="C383" s="412"/>
      <c r="D383" s="179" t="s">
        <v>460</v>
      </c>
      <c r="E383" s="302"/>
      <c r="F383" s="302"/>
      <c r="G383" s="307"/>
      <c r="H383" s="302"/>
      <c r="I383" s="301"/>
      <c r="J383" s="302"/>
      <c r="K383" s="299"/>
    </row>
    <row r="384" spans="1:11" s="129" customFormat="1" ht="18">
      <c r="A384" s="416"/>
      <c r="B384" s="417"/>
      <c r="C384" s="418"/>
      <c r="D384" s="191" t="s">
        <v>461</v>
      </c>
      <c r="E384" s="302"/>
      <c r="F384" s="302"/>
      <c r="G384" s="307"/>
      <c r="H384" s="302"/>
      <c r="I384" s="301"/>
      <c r="J384" s="302"/>
      <c r="K384" s="299"/>
    </row>
    <row r="385" spans="1:10" ht="18">
      <c r="A385" s="377" t="s">
        <v>316</v>
      </c>
      <c r="B385" s="408"/>
      <c r="C385" s="376"/>
      <c r="D385" s="183">
        <f>SUM(D365,E365,F365,G365,H365,I365,J365,D373,E373,F373,G373,H373,I373,J373,D380,)</f>
        <v>15581918.39</v>
      </c>
      <c r="E385" s="204"/>
      <c r="F385" s="204"/>
      <c r="G385" s="186"/>
      <c r="H385" s="204"/>
      <c r="I385" s="180"/>
      <c r="J385" s="204"/>
    </row>
    <row r="386" spans="1:10" ht="18">
      <c r="A386" s="377" t="s">
        <v>317</v>
      </c>
      <c r="B386" s="408"/>
      <c r="C386" s="376"/>
      <c r="D386" s="183">
        <f>SUM(D381)</f>
        <v>1944560</v>
      </c>
      <c r="E386" s="204"/>
      <c r="F386" s="204"/>
      <c r="G386" s="186"/>
      <c r="H386" s="204"/>
      <c r="I386" s="180"/>
      <c r="J386" s="204"/>
    </row>
    <row r="387" spans="1:10" ht="18">
      <c r="A387" s="133"/>
      <c r="B387" s="145"/>
      <c r="C387" s="133"/>
      <c r="D387" s="186"/>
      <c r="E387" s="204"/>
      <c r="F387" s="204"/>
      <c r="G387" s="186"/>
      <c r="H387" s="204"/>
      <c r="I387" s="180"/>
      <c r="J387" s="204"/>
    </row>
  </sheetData>
  <mergeCells count="105">
    <mergeCell ref="A386:C386"/>
    <mergeCell ref="A380:C380"/>
    <mergeCell ref="A381:C381"/>
    <mergeCell ref="A383:C384"/>
    <mergeCell ref="A385:C385"/>
    <mergeCell ref="A373:C373"/>
    <mergeCell ref="A374:C374"/>
    <mergeCell ref="A376:C379"/>
    <mergeCell ref="E376:E379"/>
    <mergeCell ref="D378:D379"/>
    <mergeCell ref="H361:I362"/>
    <mergeCell ref="A365:C365"/>
    <mergeCell ref="A366:C366"/>
    <mergeCell ref="A368:C372"/>
    <mergeCell ref="F368:G369"/>
    <mergeCell ref="H368:I369"/>
    <mergeCell ref="G370:G372"/>
    <mergeCell ref="E355:E356"/>
    <mergeCell ref="B358:C358"/>
    <mergeCell ref="A361:C364"/>
    <mergeCell ref="D361:F362"/>
    <mergeCell ref="B344:C344"/>
    <mergeCell ref="B349:C349"/>
    <mergeCell ref="B354:C354"/>
    <mergeCell ref="D355:D356"/>
    <mergeCell ref="B329:C329"/>
    <mergeCell ref="E331:E334"/>
    <mergeCell ref="D333:D334"/>
    <mergeCell ref="G326:G327"/>
    <mergeCell ref="H326:H327"/>
    <mergeCell ref="I326:I327"/>
    <mergeCell ref="J326:J327"/>
    <mergeCell ref="B325:C325"/>
    <mergeCell ref="D326:D327"/>
    <mergeCell ref="E326:E327"/>
    <mergeCell ref="F326:F327"/>
    <mergeCell ref="G303:G305"/>
    <mergeCell ref="B315:C315"/>
    <mergeCell ref="B320:C320"/>
    <mergeCell ref="B298:C298"/>
    <mergeCell ref="F301:G302"/>
    <mergeCell ref="H301:I302"/>
    <mergeCell ref="B302:C302"/>
    <mergeCell ref="G295:G296"/>
    <mergeCell ref="H295:H296"/>
    <mergeCell ref="I295:I296"/>
    <mergeCell ref="J295:J296"/>
    <mergeCell ref="B294:C294"/>
    <mergeCell ref="D295:D296"/>
    <mergeCell ref="E295:E296"/>
    <mergeCell ref="F295:F296"/>
    <mergeCell ref="H271:I272"/>
    <mergeCell ref="B284:C284"/>
    <mergeCell ref="B289:C289"/>
    <mergeCell ref="B258:C258"/>
    <mergeCell ref="B265:C265"/>
    <mergeCell ref="B266:C266"/>
    <mergeCell ref="D271:F272"/>
    <mergeCell ref="B229:C229"/>
    <mergeCell ref="B236:C236"/>
    <mergeCell ref="E241:E244"/>
    <mergeCell ref="D243:D244"/>
    <mergeCell ref="F211:G212"/>
    <mergeCell ref="H211:I212"/>
    <mergeCell ref="B212:C212"/>
    <mergeCell ref="G213:G215"/>
    <mergeCell ref="H181:I182"/>
    <mergeCell ref="B198:C198"/>
    <mergeCell ref="B205:C205"/>
    <mergeCell ref="B166:C166"/>
    <mergeCell ref="B173:C173"/>
    <mergeCell ref="B179:C179"/>
    <mergeCell ref="D181:F182"/>
    <mergeCell ref="B144:C144"/>
    <mergeCell ref="B150:C150"/>
    <mergeCell ref="E151:E154"/>
    <mergeCell ref="D153:D154"/>
    <mergeCell ref="H121:I122"/>
    <mergeCell ref="B122:C122"/>
    <mergeCell ref="G123:G125"/>
    <mergeCell ref="B134:C134"/>
    <mergeCell ref="B119:C119"/>
    <mergeCell ref="B75:C75"/>
    <mergeCell ref="B83:C83"/>
    <mergeCell ref="F121:G122"/>
    <mergeCell ref="B46:C46"/>
    <mergeCell ref="H31:I32"/>
    <mergeCell ref="B106:C106"/>
    <mergeCell ref="B113:C113"/>
    <mergeCell ref="D91:F92"/>
    <mergeCell ref="H91:I92"/>
    <mergeCell ref="B54:C54"/>
    <mergeCell ref="E61:E64"/>
    <mergeCell ref="H61:H62"/>
    <mergeCell ref="D63:D64"/>
    <mergeCell ref="H63:H64"/>
    <mergeCell ref="A1:J1"/>
    <mergeCell ref="A2:J2"/>
    <mergeCell ref="D3:F4"/>
    <mergeCell ref="H3:I4"/>
    <mergeCell ref="B32:C32"/>
    <mergeCell ref="G33:G35"/>
    <mergeCell ref="B17:C17"/>
    <mergeCell ref="B25:C25"/>
    <mergeCell ref="F31:G32"/>
  </mergeCells>
  <printOptions/>
  <pageMargins left="0.63" right="0.4" top="0.5905511811023623" bottom="0.5118110236220472" header="0.5118110236220472" footer="0.5905511811023623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N9" sqref="N9"/>
    </sheetView>
  </sheetViews>
  <sheetFormatPr defaultColWidth="9.140625" defaultRowHeight="12.75"/>
  <cols>
    <col min="1" max="1" width="7.28125" style="133" customWidth="1"/>
    <col min="2" max="2" width="8.57421875" style="145" customWidth="1"/>
    <col min="3" max="3" width="29.7109375" style="133" customWidth="1"/>
    <col min="4" max="4" width="9.7109375" style="186" customWidth="1"/>
    <col min="5" max="5" width="10.421875" style="204" customWidth="1"/>
    <col min="6" max="6" width="10.00390625" style="204" customWidth="1"/>
    <col min="7" max="7" width="13.7109375" style="186" customWidth="1"/>
    <col min="8" max="8" width="12.28125" style="204" customWidth="1"/>
    <col min="9" max="9" width="12.28125" style="180" customWidth="1"/>
    <col min="10" max="10" width="14.00390625" style="204" customWidth="1"/>
    <col min="11" max="11" width="0.42578125" style="134" hidden="1" customWidth="1"/>
    <col min="12" max="12" width="12.8515625" style="135" customWidth="1"/>
    <col min="13" max="16384" width="9.140625" style="110" customWidth="1"/>
  </cols>
  <sheetData/>
  <printOptions/>
  <pageMargins left="0" right="0.25" top="0.5905511811023623" bottom="0.5118110236220472" header="0.5118110236220472" footer="0.590551181102362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JoJo</cp:lastModifiedBy>
  <cp:lastPrinted>2012-12-12T06:47:55Z</cp:lastPrinted>
  <dcterms:created xsi:type="dcterms:W3CDTF">1996-10-14T23:33:28Z</dcterms:created>
  <dcterms:modified xsi:type="dcterms:W3CDTF">2012-12-12T07:46:55Z</dcterms:modified>
  <cp:category/>
  <cp:version/>
  <cp:contentType/>
  <cp:contentStatus/>
</cp:coreProperties>
</file>